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aaimea.sharepoint.com/sites/Marketing/Shared Documents/2025 Events/Comp &amp; Benefits_9.10.25/Materials_Handouts for Resource Page/"/>
    </mc:Choice>
  </mc:AlternateContent>
  <xr:revisionPtr revIDLastSave="2" documentId="8_{0B7474A9-AA7A-43B6-9399-8C8A7C91235C}" xr6:coauthVersionLast="47" xr6:coauthVersionMax="47" xr10:uidLastSave="{03AF707D-C208-4F5F-9F8D-3F5C2478EBDA}"/>
  <bookViews>
    <workbookView xWindow="28680" yWindow="-120" windowWidth="29040" windowHeight="15720" tabRatio="799" xr2:uid="{00000000-000D-0000-FFFF-FFFF00000000}"/>
  </bookViews>
  <sheets>
    <sheet name="Market Database" sheetId="15" r:id="rId1"/>
    <sheet name="Market Pricing" sheetId="12" r:id="rId2"/>
    <sheet name="Market Ranges" sheetId="13" r:id="rId3"/>
    <sheet name="Performance Incentive Scorecard" sheetId="14" r:id="rId4"/>
    <sheet name="Competency Scorecard" sheetId="18" r:id="rId5"/>
    <sheet name="Lookup" sheetId="11" state="hidden" r:id="rId6"/>
  </sheets>
  <definedNames>
    <definedName name="_xlnm.Print_Area" localSheetId="1">'Market Pricing'!$D$4:$J$50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18" l="1"/>
  <c r="D3" i="18"/>
  <c r="F15" i="18" s="1"/>
  <c r="R8" i="13"/>
  <c r="S20" i="13"/>
  <c r="R18" i="13"/>
  <c r="S18" i="13"/>
  <c r="S17" i="13"/>
  <c r="S16" i="13"/>
  <c r="S15" i="13"/>
  <c r="S14" i="13"/>
  <c r="S13" i="13"/>
  <c r="S12" i="13"/>
  <c r="S11" i="13"/>
  <c r="S10" i="13"/>
  <c r="S9" i="13"/>
  <c r="S8" i="13"/>
  <c r="S7" i="13"/>
  <c r="S19" i="13" s="1"/>
  <c r="S6" i="13"/>
  <c r="J35" i="12"/>
  <c r="I35" i="12"/>
  <c r="H35" i="12"/>
  <c r="G35" i="12"/>
  <c r="F35" i="12"/>
  <c r="B17" i="14"/>
  <c r="D3" i="14"/>
  <c r="F15" i="14" s="1"/>
  <c r="D11" i="18" l="1"/>
  <c r="C8" i="18"/>
  <c r="C9" i="18"/>
  <c r="C10" i="18"/>
  <c r="E11" i="18"/>
  <c r="F13" i="18"/>
  <c r="C16" i="18"/>
  <c r="D16" i="18"/>
  <c r="F8" i="18"/>
  <c r="C11" i="18"/>
  <c r="E13" i="18"/>
  <c r="D9" i="18"/>
  <c r="F11" i="18"/>
  <c r="C14" i="18"/>
  <c r="E16" i="18"/>
  <c r="E9" i="18"/>
  <c r="D14" i="18"/>
  <c r="F16" i="18"/>
  <c r="F9" i="18"/>
  <c r="C12" i="18"/>
  <c r="E14" i="18"/>
  <c r="D12" i="18"/>
  <c r="F14" i="18"/>
  <c r="E12" i="18"/>
  <c r="D10" i="18"/>
  <c r="F12" i="18"/>
  <c r="C15" i="18"/>
  <c r="E10" i="18"/>
  <c r="D15" i="18"/>
  <c r="D8" i="18"/>
  <c r="F10" i="18"/>
  <c r="C13" i="18"/>
  <c r="E15" i="18"/>
  <c r="E8" i="18"/>
  <c r="D13" i="18"/>
  <c r="C16" i="14"/>
  <c r="E9" i="14"/>
  <c r="D9" i="14"/>
  <c r="D16" i="14"/>
  <c r="F9" i="14"/>
  <c r="F16" i="14"/>
  <c r="C11" i="14"/>
  <c r="E13" i="14"/>
  <c r="G13" i="14"/>
  <c r="E14" i="14"/>
  <c r="G15" i="14"/>
  <c r="C9" i="14"/>
  <c r="E16" i="14"/>
  <c r="D11" i="14"/>
  <c r="F13" i="14"/>
  <c r="G8" i="14"/>
  <c r="C12" i="14"/>
  <c r="E11" i="14"/>
  <c r="F11" i="14"/>
  <c r="G11" i="14"/>
  <c r="C14" i="14"/>
  <c r="F8" i="14"/>
  <c r="D14" i="14"/>
  <c r="F14" i="14"/>
  <c r="C15" i="14"/>
  <c r="C8" i="14"/>
  <c r="E10" i="14"/>
  <c r="G12" i="14"/>
  <c r="D15" i="14"/>
  <c r="G16" i="14"/>
  <c r="D12" i="14"/>
  <c r="C10" i="14"/>
  <c r="E12" i="14"/>
  <c r="G14" i="14"/>
  <c r="D8" i="14"/>
  <c r="F10" i="14"/>
  <c r="C13" i="14"/>
  <c r="E15" i="14"/>
  <c r="G9" i="14"/>
  <c r="D10" i="14"/>
  <c r="F12" i="14"/>
  <c r="E8" i="14"/>
  <c r="G10" i="14"/>
  <c r="D13" i="14"/>
  <c r="P34" i="12"/>
  <c r="O34" i="12"/>
  <c r="N34" i="12"/>
  <c r="M34" i="12"/>
  <c r="L34" i="12"/>
  <c r="D34" i="12"/>
  <c r="J33" i="12"/>
  <c r="P33" i="12" s="1"/>
  <c r="I33" i="12"/>
  <c r="O33" i="12" s="1"/>
  <c r="H33" i="12"/>
  <c r="N33" i="12" s="1"/>
  <c r="G33" i="12"/>
  <c r="M33" i="12" s="1"/>
  <c r="F33" i="12"/>
  <c r="L33" i="12" s="1"/>
  <c r="D33" i="12"/>
  <c r="J32" i="12"/>
  <c r="P32" i="12" s="1"/>
  <c r="I32" i="12"/>
  <c r="O32" i="12" s="1"/>
  <c r="H32" i="12"/>
  <c r="N32" i="12" s="1"/>
  <c r="G32" i="12"/>
  <c r="M32" i="12" s="1"/>
  <c r="F32" i="12"/>
  <c r="L32" i="12" s="1"/>
  <c r="D32" i="12"/>
  <c r="J31" i="12"/>
  <c r="P31" i="12" s="1"/>
  <c r="I31" i="12"/>
  <c r="O31" i="12" s="1"/>
  <c r="H31" i="12"/>
  <c r="N31" i="12" s="1"/>
  <c r="G31" i="12"/>
  <c r="M31" i="12" s="1"/>
  <c r="F31" i="12"/>
  <c r="L31" i="12" s="1"/>
  <c r="D31" i="12"/>
  <c r="J30" i="12"/>
  <c r="P30" i="12" s="1"/>
  <c r="I30" i="12"/>
  <c r="O30" i="12" s="1"/>
  <c r="H30" i="12"/>
  <c r="N30" i="12" s="1"/>
  <c r="G30" i="12"/>
  <c r="M30" i="12" s="1"/>
  <c r="F30" i="12"/>
  <c r="L30" i="12" s="1"/>
  <c r="D30" i="12"/>
  <c r="J29" i="12"/>
  <c r="P29" i="12" s="1"/>
  <c r="I29" i="12"/>
  <c r="O29" i="12" s="1"/>
  <c r="H29" i="12"/>
  <c r="N29" i="12" s="1"/>
  <c r="G29" i="12"/>
  <c r="M29" i="12" s="1"/>
  <c r="F29" i="12"/>
  <c r="L29" i="12" s="1"/>
  <c r="D29" i="12"/>
  <c r="J28" i="12"/>
  <c r="P28" i="12" s="1"/>
  <c r="I28" i="12"/>
  <c r="O28" i="12" s="1"/>
  <c r="H28" i="12"/>
  <c r="N28" i="12" s="1"/>
  <c r="G28" i="12"/>
  <c r="M28" i="12" s="1"/>
  <c r="F28" i="12"/>
  <c r="L28" i="12" s="1"/>
  <c r="D28" i="12"/>
  <c r="J27" i="12"/>
  <c r="P27" i="12" s="1"/>
  <c r="I27" i="12"/>
  <c r="O27" i="12" s="1"/>
  <c r="H27" i="12"/>
  <c r="N27" i="12" s="1"/>
  <c r="G27" i="12"/>
  <c r="M27" i="12" s="1"/>
  <c r="F27" i="12"/>
  <c r="L27" i="12" s="1"/>
  <c r="D27" i="12"/>
  <c r="J26" i="12"/>
  <c r="P26" i="12" s="1"/>
  <c r="I26" i="12"/>
  <c r="O26" i="12" s="1"/>
  <c r="H26" i="12"/>
  <c r="N26" i="12" s="1"/>
  <c r="G26" i="12"/>
  <c r="M26" i="12" s="1"/>
  <c r="F26" i="12"/>
  <c r="L26" i="12" s="1"/>
  <c r="D26" i="12"/>
  <c r="J25" i="12"/>
  <c r="P25" i="12" s="1"/>
  <c r="I25" i="12"/>
  <c r="O25" i="12" s="1"/>
  <c r="H25" i="12"/>
  <c r="N25" i="12" s="1"/>
  <c r="G25" i="12"/>
  <c r="M25" i="12" s="1"/>
  <c r="F25" i="12"/>
  <c r="L25" i="12" s="1"/>
  <c r="D25" i="12"/>
  <c r="J24" i="12"/>
  <c r="P24" i="12" s="1"/>
  <c r="I24" i="12"/>
  <c r="O24" i="12" s="1"/>
  <c r="H24" i="12"/>
  <c r="N24" i="12" s="1"/>
  <c r="G24" i="12"/>
  <c r="M24" i="12" s="1"/>
  <c r="F24" i="12"/>
  <c r="L24" i="12" s="1"/>
  <c r="D24" i="12"/>
  <c r="J23" i="12"/>
  <c r="P23" i="12" s="1"/>
  <c r="I23" i="12"/>
  <c r="O23" i="12" s="1"/>
  <c r="H23" i="12"/>
  <c r="N23" i="12" s="1"/>
  <c r="G23" i="12"/>
  <c r="M23" i="12" s="1"/>
  <c r="F23" i="12"/>
  <c r="L23" i="12" s="1"/>
  <c r="D23" i="12"/>
  <c r="J22" i="12"/>
  <c r="P22" i="12" s="1"/>
  <c r="I22" i="12"/>
  <c r="O22" i="12" s="1"/>
  <c r="H22" i="12"/>
  <c r="N22" i="12" s="1"/>
  <c r="G22" i="12"/>
  <c r="M22" i="12" s="1"/>
  <c r="F22" i="12"/>
  <c r="L22" i="12" s="1"/>
  <c r="D22" i="12"/>
  <c r="D19" i="13"/>
  <c r="N18" i="13"/>
  <c r="N17" i="13"/>
  <c r="N16" i="13"/>
  <c r="N15" i="13"/>
  <c r="N14" i="13"/>
  <c r="N13" i="13"/>
  <c r="N12" i="13"/>
  <c r="N11" i="13"/>
  <c r="N10" i="13"/>
  <c r="N9" i="13"/>
  <c r="N8" i="13"/>
  <c r="N7" i="13"/>
  <c r="N6" i="13"/>
  <c r="M18" i="13"/>
  <c r="K18" i="13" s="1"/>
  <c r="M17" i="13"/>
  <c r="K17" i="13" s="1"/>
  <c r="M16" i="13"/>
  <c r="K16" i="13" s="1"/>
  <c r="M15" i="13"/>
  <c r="K15" i="13" s="1"/>
  <c r="M14" i="13"/>
  <c r="M13" i="13"/>
  <c r="K13" i="13" s="1"/>
  <c r="M12" i="13"/>
  <c r="K12" i="13"/>
  <c r="M11" i="13"/>
  <c r="K11" i="13" s="1"/>
  <c r="M10" i="13"/>
  <c r="M9" i="13"/>
  <c r="K9" i="13" s="1"/>
  <c r="M8" i="13"/>
  <c r="K8" i="13" s="1"/>
  <c r="M7" i="13"/>
  <c r="G18" i="13"/>
  <c r="G17" i="13"/>
  <c r="G16" i="13"/>
  <c r="G15" i="13"/>
  <c r="G14" i="13"/>
  <c r="G13" i="13"/>
  <c r="G12" i="13"/>
  <c r="G11" i="13"/>
  <c r="G10" i="13"/>
  <c r="G9" i="13"/>
  <c r="G8" i="13"/>
  <c r="G7" i="13"/>
  <c r="M6" i="13"/>
  <c r="G6" i="13"/>
  <c r="P48" i="12"/>
  <c r="O48" i="12"/>
  <c r="N48" i="12"/>
  <c r="M48" i="12"/>
  <c r="L48" i="12"/>
  <c r="P47" i="12"/>
  <c r="O47" i="12"/>
  <c r="N47" i="12"/>
  <c r="M47" i="12"/>
  <c r="L47" i="12"/>
  <c r="P45" i="12"/>
  <c r="O45" i="12"/>
  <c r="N45" i="12"/>
  <c r="M45" i="12"/>
  <c r="L45" i="12"/>
  <c r="P42" i="12"/>
  <c r="O42" i="12"/>
  <c r="N42" i="12"/>
  <c r="M42" i="12"/>
  <c r="L42" i="12"/>
  <c r="P43" i="12"/>
  <c r="O43" i="12"/>
  <c r="N43" i="12"/>
  <c r="M43" i="12"/>
  <c r="L43" i="12"/>
  <c r="P44" i="12"/>
  <c r="O44" i="12"/>
  <c r="N44" i="12"/>
  <c r="M44" i="12"/>
  <c r="L44" i="12"/>
  <c r="P41" i="12"/>
  <c r="O41" i="12"/>
  <c r="N41" i="12"/>
  <c r="M41" i="12"/>
  <c r="L41" i="12"/>
  <c r="P49" i="12"/>
  <c r="O49" i="12"/>
  <c r="N49" i="12"/>
  <c r="M49" i="12"/>
  <c r="L49" i="12"/>
  <c r="P46" i="12"/>
  <c r="O46" i="12"/>
  <c r="N46" i="12"/>
  <c r="M46" i="12"/>
  <c r="L46" i="12"/>
  <c r="P50" i="12"/>
  <c r="O50" i="12"/>
  <c r="N50" i="12"/>
  <c r="M50" i="12"/>
  <c r="L50" i="12"/>
  <c r="P38" i="12"/>
  <c r="O38" i="12"/>
  <c r="N38" i="12"/>
  <c r="M38" i="12"/>
  <c r="L38" i="12"/>
  <c r="P40" i="12"/>
  <c r="O40" i="12"/>
  <c r="N40" i="12"/>
  <c r="M40" i="12"/>
  <c r="L40" i="12"/>
  <c r="P39" i="12"/>
  <c r="O39" i="12"/>
  <c r="N39" i="12"/>
  <c r="M39" i="12"/>
  <c r="L39" i="12"/>
  <c r="P16" i="12"/>
  <c r="O16" i="12"/>
  <c r="N16" i="12"/>
  <c r="M16" i="12"/>
  <c r="L16" i="12"/>
  <c r="P15" i="12"/>
  <c r="O15" i="12"/>
  <c r="N15" i="12"/>
  <c r="M15" i="12"/>
  <c r="L15" i="12"/>
  <c r="P13" i="12"/>
  <c r="O13" i="12"/>
  <c r="N13" i="12"/>
  <c r="M13" i="12"/>
  <c r="L13" i="12"/>
  <c r="P10" i="12"/>
  <c r="O10" i="12"/>
  <c r="N10" i="12"/>
  <c r="M10" i="12"/>
  <c r="L10" i="12"/>
  <c r="P11" i="12"/>
  <c r="O11" i="12"/>
  <c r="N11" i="12"/>
  <c r="M11" i="12"/>
  <c r="L11" i="12"/>
  <c r="P12" i="12"/>
  <c r="O12" i="12"/>
  <c r="N12" i="12"/>
  <c r="M12" i="12"/>
  <c r="L12" i="12"/>
  <c r="P9" i="12"/>
  <c r="O9" i="12"/>
  <c r="N9" i="12"/>
  <c r="M9" i="12"/>
  <c r="L9" i="12"/>
  <c r="P17" i="12"/>
  <c r="O17" i="12"/>
  <c r="N17" i="12"/>
  <c r="M17" i="12"/>
  <c r="L17" i="12"/>
  <c r="P14" i="12"/>
  <c r="O14" i="12"/>
  <c r="N14" i="12"/>
  <c r="M14" i="12"/>
  <c r="L14" i="12"/>
  <c r="P18" i="12"/>
  <c r="O18" i="12"/>
  <c r="N18" i="12"/>
  <c r="M18" i="12"/>
  <c r="L18" i="12"/>
  <c r="P6" i="12"/>
  <c r="O6" i="12"/>
  <c r="N6" i="12"/>
  <c r="M6" i="12"/>
  <c r="L6" i="12"/>
  <c r="P8" i="12"/>
  <c r="O8" i="12"/>
  <c r="N8" i="12"/>
  <c r="M8" i="12"/>
  <c r="L8" i="12"/>
  <c r="P7" i="12"/>
  <c r="O7" i="12"/>
  <c r="N7" i="12"/>
  <c r="M7" i="12"/>
  <c r="L7" i="12"/>
  <c r="L51" i="12" l="1"/>
  <c r="M51" i="12"/>
  <c r="N51" i="12"/>
  <c r="O51" i="12"/>
  <c r="P51" i="12"/>
  <c r="C17" i="18"/>
  <c r="E17" i="18"/>
  <c r="D17" i="18"/>
  <c r="F17" i="18"/>
  <c r="F17" i="14"/>
  <c r="O13" i="13"/>
  <c r="P13" i="13"/>
  <c r="Q13" i="13" s="1"/>
  <c r="R13" i="13" s="1"/>
  <c r="H15" i="13"/>
  <c r="P15" i="13"/>
  <c r="Q15" i="13" s="1"/>
  <c r="R15" i="13" s="1"/>
  <c r="O7" i="13"/>
  <c r="P7" i="13"/>
  <c r="Q7" i="13" s="1"/>
  <c r="R7" i="13" s="1"/>
  <c r="O9" i="13"/>
  <c r="P9" i="13"/>
  <c r="Q9" i="13" s="1"/>
  <c r="R9" i="13" s="1"/>
  <c r="O14" i="13"/>
  <c r="P14" i="13"/>
  <c r="Q14" i="13" s="1"/>
  <c r="R14" i="13" s="1"/>
  <c r="H16" i="13"/>
  <c r="P16" i="13"/>
  <c r="Q16" i="13" s="1"/>
  <c r="R16" i="13" s="1"/>
  <c r="H8" i="13"/>
  <c r="P8" i="13"/>
  <c r="Q8" i="13" s="1"/>
  <c r="H12" i="13"/>
  <c r="P12" i="13"/>
  <c r="Q12" i="13" s="1"/>
  <c r="R12" i="13" s="1"/>
  <c r="O17" i="13"/>
  <c r="P17" i="13"/>
  <c r="Q17" i="13" s="1"/>
  <c r="R17" i="13" s="1"/>
  <c r="O10" i="13"/>
  <c r="P10" i="13"/>
  <c r="Q10" i="13" s="1"/>
  <c r="R10" i="13" s="1"/>
  <c r="H11" i="13"/>
  <c r="P11" i="13"/>
  <c r="Q11" i="13" s="1"/>
  <c r="R11" i="13" s="1"/>
  <c r="O6" i="13"/>
  <c r="P6" i="13"/>
  <c r="Q6" i="13" s="1"/>
  <c r="R6" i="13" s="1"/>
  <c r="H18" i="13"/>
  <c r="P18" i="13"/>
  <c r="Q18" i="13" s="1"/>
  <c r="P35" i="12"/>
  <c r="L35" i="12"/>
  <c r="O35" i="12"/>
  <c r="G17" i="14"/>
  <c r="N35" i="12"/>
  <c r="M35" i="12"/>
  <c r="L19" i="12"/>
  <c r="M19" i="12"/>
  <c r="N19" i="12"/>
  <c r="O19" i="12"/>
  <c r="P19" i="12"/>
  <c r="C17" i="14"/>
  <c r="E17" i="14"/>
  <c r="D17" i="14"/>
  <c r="N19" i="13"/>
  <c r="O12" i="13"/>
  <c r="O15" i="13"/>
  <c r="O18" i="13"/>
  <c r="O16" i="13"/>
  <c r="O8" i="13"/>
  <c r="O11" i="13"/>
  <c r="K7" i="13"/>
  <c r="K14" i="13"/>
  <c r="H6" i="13"/>
  <c r="H13" i="13"/>
  <c r="K6" i="13"/>
  <c r="H14" i="13"/>
  <c r="H10" i="13"/>
  <c r="K10" i="13"/>
  <c r="H7" i="13"/>
  <c r="H9" i="13"/>
  <c r="H17" i="13"/>
  <c r="P41" i="11"/>
  <c r="Q41" i="11" s="1"/>
  <c r="R41" i="11"/>
  <c r="T41" i="11"/>
  <c r="U41" i="11" s="1"/>
  <c r="V41" i="11"/>
  <c r="Z41" i="11"/>
  <c r="X41" i="11" s="1"/>
  <c r="Y41" i="11" s="1"/>
  <c r="R42" i="11"/>
  <c r="P42" i="11" s="1"/>
  <c r="Q42" i="11" s="1"/>
  <c r="T42" i="11"/>
  <c r="U42" i="11" s="1"/>
  <c r="V42" i="11"/>
  <c r="X42" i="11"/>
  <c r="Y42" i="11"/>
  <c r="Z42" i="11"/>
  <c r="R43" i="11"/>
  <c r="P43" i="11" s="1"/>
  <c r="Q43" i="11" s="1"/>
  <c r="V43" i="11"/>
  <c r="T43" i="11" s="1"/>
  <c r="U43" i="11" s="1"/>
  <c r="X43" i="11"/>
  <c r="Y43" i="11" s="1"/>
  <c r="Z43" i="11"/>
  <c r="P44" i="11"/>
  <c r="Q44" i="11" s="1"/>
  <c r="R44" i="11"/>
  <c r="V44" i="11"/>
  <c r="T44" i="11" s="1"/>
  <c r="U44" i="11" s="1"/>
  <c r="Z44" i="11"/>
  <c r="X44" i="11" s="1"/>
  <c r="Y44" i="11" s="1"/>
  <c r="P45" i="11"/>
  <c r="Q45" i="11" s="1"/>
  <c r="R45" i="11"/>
  <c r="T45" i="11"/>
  <c r="U45" i="11"/>
  <c r="V45" i="11"/>
  <c r="Z45" i="11"/>
  <c r="X45" i="11" s="1"/>
  <c r="Y45" i="11" s="1"/>
  <c r="R46" i="11"/>
  <c r="P46" i="11" s="1"/>
  <c r="Q46" i="11" s="1"/>
  <c r="T46" i="11"/>
  <c r="U46" i="11" s="1"/>
  <c r="V46" i="11"/>
  <c r="X46" i="11"/>
  <c r="Y46" i="11" s="1"/>
  <c r="Z46" i="11"/>
  <c r="R47" i="11"/>
  <c r="P47" i="11" s="1"/>
  <c r="Q47" i="11" s="1"/>
  <c r="V47" i="11"/>
  <c r="T47" i="11" s="1"/>
  <c r="U47" i="11" s="1"/>
  <c r="X47" i="11"/>
  <c r="Y47" i="11" s="1"/>
  <c r="Z47" i="11"/>
  <c r="P48" i="11"/>
  <c r="Q48" i="11"/>
  <c r="R48" i="11"/>
  <c r="V48" i="11"/>
  <c r="T48" i="11" s="1"/>
  <c r="U48" i="11" s="1"/>
  <c r="Z48" i="11"/>
  <c r="X48" i="11" s="1"/>
  <c r="Y48" i="11" s="1"/>
  <c r="P49" i="11"/>
  <c r="Q49" i="11" s="1"/>
  <c r="R49" i="11"/>
  <c r="T49" i="11"/>
  <c r="U49" i="11" s="1"/>
  <c r="V49" i="11"/>
  <c r="Z49" i="11"/>
  <c r="X49" i="11" s="1"/>
  <c r="Y49" i="11" s="1"/>
  <c r="R50" i="11"/>
  <c r="P50" i="11" s="1"/>
  <c r="Q50" i="11" s="1"/>
  <c r="T50" i="11"/>
  <c r="U50" i="11" s="1"/>
  <c r="V50" i="11"/>
  <c r="X50" i="11"/>
  <c r="Y50" i="11"/>
  <c r="Z50" i="11"/>
  <c r="R51" i="11"/>
  <c r="P51" i="11" s="1"/>
  <c r="Q51" i="11" s="1"/>
  <c r="V51" i="11"/>
  <c r="T51" i="11" s="1"/>
  <c r="U51" i="11" s="1"/>
  <c r="X51" i="11"/>
  <c r="Y51" i="11" s="1"/>
  <c r="Z51" i="11"/>
  <c r="P40" i="11"/>
  <c r="Q40" i="11"/>
  <c r="R40" i="11"/>
  <c r="V40" i="11"/>
  <c r="T40" i="11" s="1"/>
  <c r="U40" i="11" s="1"/>
  <c r="Z40" i="11"/>
  <c r="X40" i="11" s="1"/>
  <c r="Y40" i="11" s="1"/>
  <c r="L41" i="11"/>
  <c r="M41" i="11"/>
  <c r="N41" i="11"/>
  <c r="L42" i="11"/>
  <c r="M42" i="11"/>
  <c r="N42" i="11"/>
  <c r="N43" i="11"/>
  <c r="L43" i="11" s="1"/>
  <c r="M43" i="11" s="1"/>
  <c r="L44" i="11"/>
  <c r="M44" i="11" s="1"/>
  <c r="N44" i="11"/>
  <c r="L45" i="11"/>
  <c r="M45" i="11" s="1"/>
  <c r="N45" i="11"/>
  <c r="N46" i="11"/>
  <c r="L46" i="11" s="1"/>
  <c r="M46" i="11" s="1"/>
  <c r="N47" i="11"/>
  <c r="L47" i="11" s="1"/>
  <c r="M47" i="11" s="1"/>
  <c r="N48" i="11"/>
  <c r="L48" i="11" s="1"/>
  <c r="M48" i="11" s="1"/>
  <c r="L49" i="11"/>
  <c r="M49" i="11"/>
  <c r="N49" i="11"/>
  <c r="N50" i="11"/>
  <c r="L50" i="11" s="1"/>
  <c r="M50" i="11" s="1"/>
  <c r="N51" i="11"/>
  <c r="L51" i="11" s="1"/>
  <c r="M51" i="11" s="1"/>
  <c r="N40" i="11"/>
  <c r="L40" i="11" s="1"/>
  <c r="M40" i="11" s="1"/>
  <c r="H41" i="11"/>
  <c r="I41" i="11"/>
  <c r="J41" i="11"/>
  <c r="H42" i="11"/>
  <c r="I42" i="11"/>
  <c r="J42" i="11"/>
  <c r="J43" i="11"/>
  <c r="H43" i="11" s="1"/>
  <c r="I43" i="11" s="1"/>
  <c r="H44" i="11"/>
  <c r="I44" i="11" s="1"/>
  <c r="J44" i="11"/>
  <c r="H45" i="11"/>
  <c r="I45" i="11" s="1"/>
  <c r="J45" i="11"/>
  <c r="J46" i="11"/>
  <c r="H46" i="11" s="1"/>
  <c r="I46" i="11" s="1"/>
  <c r="J47" i="11"/>
  <c r="H47" i="11" s="1"/>
  <c r="I47" i="11" s="1"/>
  <c r="J48" i="11"/>
  <c r="H48" i="11" s="1"/>
  <c r="I48" i="11" s="1"/>
  <c r="H49" i="11"/>
  <c r="I49" i="11"/>
  <c r="J49" i="11"/>
  <c r="H50" i="11"/>
  <c r="I50" i="11"/>
  <c r="J50" i="11"/>
  <c r="J51" i="11"/>
  <c r="H51" i="11" s="1"/>
  <c r="I51" i="11" s="1"/>
  <c r="H52" i="11"/>
  <c r="I52" i="11" s="1"/>
  <c r="J52" i="11"/>
  <c r="J40" i="11"/>
  <c r="H40" i="11" s="1"/>
  <c r="I40" i="11" s="1"/>
  <c r="O19" i="13" l="1"/>
  <c r="R19" i="13"/>
  <c r="R20" i="13" s="1"/>
  <c r="Z52" i="11"/>
  <c r="X52" i="11" s="1"/>
  <c r="Y52" i="11" s="1"/>
  <c r="Y35" i="11"/>
  <c r="Z35" i="11" s="1"/>
  <c r="U35" i="11"/>
  <c r="T35" i="11" s="1"/>
  <c r="Q35" i="11"/>
  <c r="R35" i="11" s="1"/>
  <c r="M35" i="11"/>
  <c r="N35" i="11" s="1"/>
  <c r="I35" i="11"/>
  <c r="J35" i="11" s="1"/>
  <c r="F35" i="11"/>
  <c r="D35" i="11"/>
  <c r="Y34" i="11"/>
  <c r="Z34" i="11" s="1"/>
  <c r="U34" i="11"/>
  <c r="V34" i="11" s="1"/>
  <c r="Q34" i="11"/>
  <c r="R34" i="11" s="1"/>
  <c r="M34" i="11"/>
  <c r="L34" i="11" s="1"/>
  <c r="I34" i="11"/>
  <c r="J34" i="11" s="1"/>
  <c r="F34" i="11"/>
  <c r="D34" i="11"/>
  <c r="Y33" i="11"/>
  <c r="X33" i="11" s="1"/>
  <c r="U33" i="11"/>
  <c r="T33" i="11" s="1"/>
  <c r="Q33" i="11"/>
  <c r="R33" i="11" s="1"/>
  <c r="M33" i="11"/>
  <c r="N33" i="11" s="1"/>
  <c r="I33" i="11"/>
  <c r="J33" i="11" s="1"/>
  <c r="F33" i="11"/>
  <c r="D33" i="11"/>
  <c r="Y32" i="11"/>
  <c r="Z32" i="11" s="1"/>
  <c r="U32" i="11"/>
  <c r="V32" i="11" s="1"/>
  <c r="Q32" i="11"/>
  <c r="R32" i="11" s="1"/>
  <c r="M32" i="11"/>
  <c r="N32" i="11" s="1"/>
  <c r="I32" i="11"/>
  <c r="J32" i="11" s="1"/>
  <c r="F32" i="11"/>
  <c r="D32" i="11"/>
  <c r="Y31" i="11"/>
  <c r="Z31" i="11" s="1"/>
  <c r="U31" i="11"/>
  <c r="T31" i="11" s="1"/>
  <c r="Q31" i="11"/>
  <c r="P31" i="11" s="1"/>
  <c r="M31" i="11"/>
  <c r="N31" i="11" s="1"/>
  <c r="I31" i="11"/>
  <c r="J31" i="11" s="1"/>
  <c r="F31" i="11"/>
  <c r="D31" i="11"/>
  <c r="Y29" i="11"/>
  <c r="Z29" i="11" s="1"/>
  <c r="U29" i="11"/>
  <c r="V29" i="11" s="1"/>
  <c r="Q29" i="11"/>
  <c r="R29" i="11" s="1"/>
  <c r="M29" i="11"/>
  <c r="N29" i="11" s="1"/>
  <c r="I29" i="11"/>
  <c r="J29" i="11" s="1"/>
  <c r="F29" i="11"/>
  <c r="D29" i="11"/>
  <c r="Y28" i="11"/>
  <c r="Z28" i="11" s="1"/>
  <c r="U28" i="11"/>
  <c r="T28" i="11" s="1"/>
  <c r="Q28" i="11"/>
  <c r="R28" i="11" s="1"/>
  <c r="M28" i="11"/>
  <c r="N28" i="11" s="1"/>
  <c r="I28" i="11"/>
  <c r="H28" i="11" s="1"/>
  <c r="F28" i="11"/>
  <c r="D28" i="11"/>
  <c r="Y27" i="11"/>
  <c r="Z27" i="11" s="1"/>
  <c r="U27" i="11"/>
  <c r="T27" i="11" s="1"/>
  <c r="Q27" i="11"/>
  <c r="R27" i="11" s="1"/>
  <c r="M27" i="11"/>
  <c r="N27" i="11" s="1"/>
  <c r="I27" i="11"/>
  <c r="J27" i="11" s="1"/>
  <c r="F27" i="11"/>
  <c r="D27" i="11"/>
  <c r="Y26" i="11"/>
  <c r="Z26" i="11" s="1"/>
  <c r="U26" i="11"/>
  <c r="T26" i="11" s="1"/>
  <c r="Q26" i="11"/>
  <c r="R26" i="11" s="1"/>
  <c r="M26" i="11"/>
  <c r="N26" i="11" s="1"/>
  <c r="I26" i="11"/>
  <c r="J26" i="11" s="1"/>
  <c r="F26" i="11"/>
  <c r="D26" i="11"/>
  <c r="Y25" i="11"/>
  <c r="Z25" i="11" s="1"/>
  <c r="U25" i="11"/>
  <c r="V25" i="11" s="1"/>
  <c r="Q25" i="11"/>
  <c r="R25" i="11" s="1"/>
  <c r="M25" i="11"/>
  <c r="L25" i="11" s="1"/>
  <c r="I25" i="11"/>
  <c r="J25" i="11" s="1"/>
  <c r="F25" i="11"/>
  <c r="D25" i="11"/>
  <c r="Y24" i="11"/>
  <c r="X24" i="11" s="1"/>
  <c r="U24" i="11"/>
  <c r="T24" i="11" s="1"/>
  <c r="Q24" i="11"/>
  <c r="R24" i="11" s="1"/>
  <c r="M24" i="11"/>
  <c r="N24" i="11" s="1"/>
  <c r="I24" i="11"/>
  <c r="J24" i="11" s="1"/>
  <c r="F24" i="11"/>
  <c r="D24" i="11"/>
  <c r="Y22" i="11"/>
  <c r="Z22" i="11" s="1"/>
  <c r="U22" i="11"/>
  <c r="V22" i="11" s="1"/>
  <c r="Q22" i="11"/>
  <c r="R22" i="11" s="1"/>
  <c r="M22" i="11"/>
  <c r="N22" i="11" s="1"/>
  <c r="I22" i="11"/>
  <c r="J22" i="11" s="1"/>
  <c r="F22" i="11"/>
  <c r="D22" i="11"/>
  <c r="Y21" i="11"/>
  <c r="Z21" i="11" s="1"/>
  <c r="U21" i="11"/>
  <c r="T21" i="11" s="1"/>
  <c r="Q21" i="11"/>
  <c r="P21" i="11" s="1"/>
  <c r="M21" i="11"/>
  <c r="N21" i="11" s="1"/>
  <c r="I21" i="11"/>
  <c r="J21" i="11" s="1"/>
  <c r="F21" i="11"/>
  <c r="D21" i="11"/>
  <c r="Y20" i="11"/>
  <c r="Z20" i="11" s="1"/>
  <c r="U20" i="11"/>
  <c r="V20" i="11" s="1"/>
  <c r="Q20" i="11"/>
  <c r="R20" i="11" s="1"/>
  <c r="M20" i="11"/>
  <c r="N20" i="11" s="1"/>
  <c r="I20" i="11"/>
  <c r="J20" i="11" s="1"/>
  <c r="F20" i="11"/>
  <c r="D20" i="11"/>
  <c r="Y19" i="11"/>
  <c r="Z19" i="11" s="1"/>
  <c r="U19" i="11"/>
  <c r="T19" i="11" s="1"/>
  <c r="Q19" i="11"/>
  <c r="R19" i="11" s="1"/>
  <c r="M19" i="11"/>
  <c r="N19" i="11" s="1"/>
  <c r="I19" i="11"/>
  <c r="H19" i="11" s="1"/>
  <c r="F19" i="11"/>
  <c r="D19" i="11"/>
  <c r="Y17" i="11"/>
  <c r="Z17" i="11" s="1"/>
  <c r="U17" i="11"/>
  <c r="T17" i="11" s="1"/>
  <c r="Q17" i="11"/>
  <c r="R17" i="11" s="1"/>
  <c r="M17" i="11"/>
  <c r="N17" i="11" s="1"/>
  <c r="I17" i="11"/>
  <c r="J17" i="11" s="1"/>
  <c r="F17" i="11"/>
  <c r="D17" i="11"/>
  <c r="Y16" i="11"/>
  <c r="Z16" i="11" s="1"/>
  <c r="U16" i="11"/>
  <c r="T16" i="11" s="1"/>
  <c r="Q16" i="11"/>
  <c r="R16" i="11" s="1"/>
  <c r="M16" i="11"/>
  <c r="N16" i="11" s="1"/>
  <c r="I16" i="11"/>
  <c r="J16" i="11" s="1"/>
  <c r="F16" i="11"/>
  <c r="D16" i="11"/>
  <c r="Y15" i="11"/>
  <c r="Z15" i="11" s="1"/>
  <c r="U15" i="11"/>
  <c r="V15" i="11" s="1"/>
  <c r="Q15" i="11"/>
  <c r="R15" i="11" s="1"/>
  <c r="M15" i="11"/>
  <c r="L15" i="11" s="1"/>
  <c r="I15" i="11"/>
  <c r="J15" i="11" s="1"/>
  <c r="F15" i="11"/>
  <c r="D15" i="11"/>
  <c r="Y14" i="11"/>
  <c r="X14" i="11" s="1"/>
  <c r="U14" i="11"/>
  <c r="T14" i="11" s="1"/>
  <c r="Q14" i="11"/>
  <c r="R14" i="11" s="1"/>
  <c r="M14" i="11"/>
  <c r="N14" i="11" s="1"/>
  <c r="I14" i="11"/>
  <c r="J14" i="11" s="1"/>
  <c r="F14" i="11"/>
  <c r="D14" i="11"/>
  <c r="Y12" i="11"/>
  <c r="Z12" i="11" s="1"/>
  <c r="U12" i="11"/>
  <c r="V12" i="11" s="1"/>
  <c r="Q12" i="11"/>
  <c r="R12" i="11" s="1"/>
  <c r="M12" i="11"/>
  <c r="N12" i="11" s="1"/>
  <c r="I12" i="11"/>
  <c r="J12" i="11" s="1"/>
  <c r="F12" i="11"/>
  <c r="D12" i="11"/>
  <c r="Y11" i="11"/>
  <c r="Z11" i="11" s="1"/>
  <c r="U11" i="11"/>
  <c r="T11" i="11" s="1"/>
  <c r="Q11" i="11"/>
  <c r="P11" i="11" s="1"/>
  <c r="M11" i="11"/>
  <c r="N11" i="11" s="1"/>
  <c r="I11" i="11"/>
  <c r="J11" i="11" s="1"/>
  <c r="F11" i="11"/>
  <c r="D11" i="11"/>
  <c r="Y10" i="11"/>
  <c r="Z10" i="11" s="1"/>
  <c r="U10" i="11"/>
  <c r="V10" i="11" s="1"/>
  <c r="Q10" i="11"/>
  <c r="R10" i="11" s="1"/>
  <c r="M10" i="11"/>
  <c r="N10" i="11" s="1"/>
  <c r="I10" i="11"/>
  <c r="J10" i="11" s="1"/>
  <c r="F10" i="11"/>
  <c r="D10" i="11"/>
  <c r="Y9" i="11"/>
  <c r="Z9" i="11" s="1"/>
  <c r="U9" i="11"/>
  <c r="T9" i="11" s="1"/>
  <c r="Q9" i="11"/>
  <c r="R9" i="11" s="1"/>
  <c r="M9" i="11"/>
  <c r="N9" i="11" s="1"/>
  <c r="I9" i="11"/>
  <c r="H9" i="11" s="1"/>
  <c r="F9" i="11"/>
  <c r="D9" i="11"/>
  <c r="Y8" i="11"/>
  <c r="Z8" i="11" s="1"/>
  <c r="U8" i="11"/>
  <c r="T8" i="11" s="1"/>
  <c r="Q8" i="11"/>
  <c r="R8" i="11" s="1"/>
  <c r="M8" i="11"/>
  <c r="N8" i="11" s="1"/>
  <c r="I8" i="11"/>
  <c r="J8" i="11" s="1"/>
  <c r="F8" i="11"/>
  <c r="D8" i="11"/>
  <c r="Y7" i="11"/>
  <c r="Z7" i="11" s="1"/>
  <c r="U7" i="11"/>
  <c r="T7" i="11" s="1"/>
  <c r="Q7" i="11"/>
  <c r="R7" i="11" s="1"/>
  <c r="M7" i="11"/>
  <c r="N7" i="11" s="1"/>
  <c r="I7" i="11"/>
  <c r="J7" i="11" s="1"/>
  <c r="F7" i="11"/>
  <c r="D7" i="11"/>
  <c r="Y6" i="11"/>
  <c r="Z6" i="11" s="1"/>
  <c r="U6" i="11"/>
  <c r="V6" i="11" s="1"/>
  <c r="Q6" i="11"/>
  <c r="R6" i="11" s="1"/>
  <c r="M6" i="11"/>
  <c r="L6" i="11" s="1"/>
  <c r="I6" i="11"/>
  <c r="H6" i="11" s="1"/>
  <c r="F6" i="11"/>
  <c r="D6" i="11"/>
  <c r="Y5" i="11"/>
  <c r="X5" i="11" s="1"/>
  <c r="U5" i="11"/>
  <c r="T5" i="11" s="1"/>
  <c r="Q5" i="11"/>
  <c r="R5" i="11" s="1"/>
  <c r="M5" i="11"/>
  <c r="N5" i="11" s="1"/>
  <c r="I5" i="11"/>
  <c r="J5" i="11" s="1"/>
  <c r="F5" i="11"/>
  <c r="D5" i="11"/>
  <c r="Y4" i="11"/>
  <c r="X4" i="11" s="1"/>
  <c r="U4" i="11"/>
  <c r="V4" i="11" s="1"/>
  <c r="Q4" i="11"/>
  <c r="R4" i="11" s="1"/>
  <c r="M4" i="11"/>
  <c r="N4" i="11" s="1"/>
  <c r="I4" i="11"/>
  <c r="H4" i="11" s="1"/>
  <c r="F4" i="11"/>
  <c r="D4" i="11"/>
  <c r="V35" i="11" l="1"/>
  <c r="Z4" i="11"/>
  <c r="P15" i="11"/>
  <c r="P12" i="11"/>
  <c r="P25" i="11"/>
  <c r="P32" i="11"/>
  <c r="P34" i="11"/>
  <c r="P6" i="11"/>
  <c r="V33" i="11"/>
  <c r="J4" i="11"/>
  <c r="J6" i="11"/>
  <c r="P10" i="11"/>
  <c r="P29" i="11"/>
  <c r="P4" i="11"/>
  <c r="P8" i="11"/>
  <c r="P27" i="11"/>
  <c r="P22" i="11"/>
  <c r="P20" i="11"/>
  <c r="P17" i="11"/>
  <c r="V31" i="11"/>
  <c r="V11" i="11"/>
  <c r="V24" i="11"/>
  <c r="V7" i="11"/>
  <c r="V19" i="11"/>
  <c r="V26" i="11"/>
  <c r="L5" i="11"/>
  <c r="L7" i="11"/>
  <c r="L9" i="11"/>
  <c r="L11" i="11"/>
  <c r="L14" i="11"/>
  <c r="L16" i="11"/>
  <c r="L19" i="11"/>
  <c r="L21" i="11"/>
  <c r="L24" i="11"/>
  <c r="L26" i="11"/>
  <c r="L28" i="11"/>
  <c r="L31" i="11"/>
  <c r="L33" i="11"/>
  <c r="L35" i="11"/>
  <c r="V14" i="11"/>
  <c r="V5" i="11"/>
  <c r="V9" i="11"/>
  <c r="V21" i="11"/>
  <c r="V28" i="11"/>
  <c r="X6" i="11"/>
  <c r="H8" i="11"/>
  <c r="X8" i="11"/>
  <c r="H10" i="11"/>
  <c r="X10" i="11"/>
  <c r="H12" i="11"/>
  <c r="X12" i="11"/>
  <c r="H15" i="11"/>
  <c r="X15" i="11"/>
  <c r="H17" i="11"/>
  <c r="X17" i="11"/>
  <c r="H20" i="11"/>
  <c r="X20" i="11"/>
  <c r="H22" i="11"/>
  <c r="X22" i="11"/>
  <c r="H25" i="11"/>
  <c r="X25" i="11"/>
  <c r="H27" i="11"/>
  <c r="X27" i="11"/>
  <c r="H29" i="11"/>
  <c r="X29" i="11"/>
  <c r="H32" i="11"/>
  <c r="X32" i="11"/>
  <c r="H34" i="11"/>
  <c r="X34" i="11"/>
  <c r="V16" i="11"/>
  <c r="P5" i="11"/>
  <c r="Z5" i="11"/>
  <c r="N6" i="11"/>
  <c r="X7" i="11"/>
  <c r="L8" i="11"/>
  <c r="V8" i="11"/>
  <c r="J9" i="11"/>
  <c r="T10" i="11"/>
  <c r="H11" i="11"/>
  <c r="R11" i="11"/>
  <c r="P14" i="11"/>
  <c r="Z14" i="11"/>
  <c r="N15" i="11"/>
  <c r="X16" i="11"/>
  <c r="L17" i="11"/>
  <c r="V17" i="11"/>
  <c r="J19" i="11"/>
  <c r="T20" i="11"/>
  <c r="H21" i="11"/>
  <c r="R21" i="11"/>
  <c r="P24" i="11"/>
  <c r="Z24" i="11"/>
  <c r="N25" i="11"/>
  <c r="X26" i="11"/>
  <c r="L27" i="11"/>
  <c r="V27" i="11"/>
  <c r="J28" i="11"/>
  <c r="T29" i="11"/>
  <c r="H31" i="11"/>
  <c r="R31" i="11"/>
  <c r="P33" i="11"/>
  <c r="Z33" i="11"/>
  <c r="N34" i="11"/>
  <c r="X35" i="11"/>
  <c r="R52" i="11"/>
  <c r="P52" i="11" s="1"/>
  <c r="Q52" i="11" s="1"/>
  <c r="T4" i="11"/>
  <c r="H5" i="11"/>
  <c r="P7" i="11"/>
  <c r="X9" i="11"/>
  <c r="L10" i="11"/>
  <c r="T12" i="11"/>
  <c r="H14" i="11"/>
  <c r="P16" i="11"/>
  <c r="X19" i="11"/>
  <c r="L20" i="11"/>
  <c r="T22" i="11"/>
  <c r="H24" i="11"/>
  <c r="P26" i="11"/>
  <c r="X28" i="11"/>
  <c r="L29" i="11"/>
  <c r="T32" i="11"/>
  <c r="H33" i="11"/>
  <c r="P35" i="11"/>
  <c r="V52" i="11"/>
  <c r="T52" i="11" s="1"/>
  <c r="U52" i="11" s="1"/>
  <c r="L4" i="11"/>
  <c r="T6" i="11"/>
  <c r="H7" i="11"/>
  <c r="P9" i="11"/>
  <c r="X11" i="11"/>
  <c r="L12" i="11"/>
  <c r="T15" i="11"/>
  <c r="H16" i="11"/>
  <c r="P19" i="11"/>
  <c r="X21" i="11"/>
  <c r="L22" i="11"/>
  <c r="T25" i="11"/>
  <c r="H26" i="11"/>
  <c r="P28" i="11"/>
  <c r="X31" i="11"/>
  <c r="L32" i="11"/>
  <c r="T34" i="11"/>
  <c r="H35" i="11"/>
  <c r="N52" i="11"/>
  <c r="L52" i="11" s="1"/>
  <c r="M52" i="11" s="1"/>
</calcChain>
</file>

<file path=xl/sharedStrings.xml><?xml version="1.0" encoding="utf-8"?>
<sst xmlns="http://schemas.openxmlformats.org/spreadsheetml/2006/main" count="431" uniqueCount="166">
  <si>
    <t>Market Data</t>
  </si>
  <si>
    <t>Revenue:</t>
  </si>
  <si>
    <t>Location:</t>
  </si>
  <si>
    <t>Phliadelphia. PA Metro Region</t>
  </si>
  <si>
    <t>108.6% of US Average</t>
  </si>
  <si>
    <t>Industry Segment:</t>
  </si>
  <si>
    <t>Effective Date/Aging</t>
  </si>
  <si>
    <t>1.1.26</t>
  </si>
  <si>
    <t xml:space="preserve">Surveys: </t>
  </si>
  <si>
    <t>Economic Research Institute</t>
  </si>
  <si>
    <t>CompAnalyst  PayFactors</t>
  </si>
  <si>
    <r>
      <t>•</t>
    </r>
    <r>
      <rPr>
        <b/>
        <sz val="10"/>
        <color rgb="FFC00000"/>
        <rFont val="Calibri"/>
        <family val="2"/>
        <scheme val="minor"/>
      </rPr>
      <t xml:space="preserve">ERI Economic Research Institute </t>
    </r>
    <r>
      <rPr>
        <sz val="10"/>
        <color rgb="FF000000"/>
        <rFont val="Calibri"/>
        <family val="2"/>
        <scheme val="minor"/>
      </rPr>
      <t>was founded over 30 years ago to provide compensation applications for private and public organizations. ERI compiles the most robust salary, cost of living, and executive compensation survey data available, with updated market data for more than 1,100 industry sectors. ERI collects salary survey data from internal surveys, third-party salary surveys, and public sources to calculate geographic salary differentials and assist with compensation planning. Includes data from Willis Towers Watson.</t>
    </r>
  </si>
  <si>
    <r>
      <t>•</t>
    </r>
    <r>
      <rPr>
        <sz val="10"/>
        <color rgb="FF000000"/>
        <rFont val="Calibri"/>
        <family val="2"/>
        <scheme val="minor"/>
      </rPr>
      <t>With</t>
    </r>
    <r>
      <rPr>
        <b/>
        <sz val="10"/>
        <color rgb="FF000000"/>
        <rFont val="Calibri"/>
        <family val="2"/>
        <scheme val="minor"/>
      </rPr>
      <t xml:space="preserve"> </t>
    </r>
    <r>
      <rPr>
        <b/>
        <sz val="10"/>
        <color rgb="FFC00000"/>
        <rFont val="Calibri"/>
        <family val="2"/>
        <scheme val="minor"/>
      </rPr>
      <t>CompAnalyst®</t>
    </r>
    <r>
      <rPr>
        <b/>
        <sz val="10"/>
        <color rgb="FF000000"/>
        <rFont val="Calibri"/>
        <family val="2"/>
        <scheme val="minor"/>
      </rPr>
      <t xml:space="preserve"> </t>
    </r>
    <r>
      <rPr>
        <sz val="10"/>
        <color rgb="FF000000"/>
        <rFont val="Calibri"/>
        <family val="2"/>
        <scheme val="minor"/>
      </rPr>
      <t>you get the data and insights you need to make pay decisions with confidence. Our solution addresses the entire compensation process, helping you quickly price jobs with unparalleled accuracy and analyze your compensation pay practices, CompAnalyst delivers faster decision making, and new insights into your pay practices. You can explore new intersections between market, company, and employee data with enhanced data integrations. With powerful tools and streamlined workflows, you can price jobs quickly and access the information you need to get pay right. With CompAnalyst Market Data you have access to the largest and most reliable HR-reported compensation data set. Market price hot jobs, industry-specific positions, and even combine jobs to map to your specific needs, drastically reducing your data gaps. Includes data from Mercer.</t>
    </r>
  </si>
  <si>
    <r>
      <t>•</t>
    </r>
    <r>
      <rPr>
        <b/>
        <sz val="10"/>
        <color rgb="FFC00000"/>
        <rFont val="Calibri"/>
        <family val="2"/>
        <scheme val="minor"/>
      </rPr>
      <t>Payfactors</t>
    </r>
    <r>
      <rPr>
        <b/>
        <sz val="10"/>
        <color rgb="FF000000"/>
        <rFont val="Calibri"/>
        <family val="2"/>
        <scheme val="minor"/>
      </rPr>
      <t xml:space="preserve"> </t>
    </r>
    <r>
      <rPr>
        <sz val="10"/>
        <color rgb="FF000000"/>
        <rFont val="Calibri"/>
        <family val="2"/>
        <scheme val="minor"/>
      </rPr>
      <t>is a comprehensive survey management tool and a cloud-based compensation data management tool that streamlines the process of managing and analyzing compensation and benefits survey data, offering robust features for participation, access, and analysis. Companies use Payfactors to manage and analyze their compensation data, make informed decisions, and stay competitive in the market. The cloud-based approach of Payfactors offers secure storage, accessibility, and seamless collaboration for compensation data management. Payfactors provides up-to-date market compensation data, advanced analytics, and reporting capabilities for informed decision-making. Implementing Payfactors can lead to improved employee satisfaction and retention, insights into market compensation trends, and enhanced accuracy and transparency of compensation data. Statistics show a substantial increase in employee satisfaction, productivity, and data accuracy after implementing Payfactors. Includes data from Aon/Hewitt.</t>
    </r>
  </si>
  <si>
    <t>Organization:</t>
  </si>
  <si>
    <t>Analysis Date:</t>
  </si>
  <si>
    <t>August, 2025</t>
  </si>
  <si>
    <t xml:space="preserve">Market Results </t>
  </si>
  <si>
    <t>Base Pay Market Averages (Annual)</t>
  </si>
  <si>
    <t>Current Base Pay vs. Market Averages (Annual)</t>
  </si>
  <si>
    <t>Benchmark Positions</t>
  </si>
  <si>
    <t>Department</t>
  </si>
  <si>
    <t>Reports To</t>
  </si>
  <si>
    <t>Current Base Pay</t>
  </si>
  <si>
    <t>P10</t>
  </si>
  <si>
    <t>P25</t>
  </si>
  <si>
    <t>P50</t>
  </si>
  <si>
    <t>P75</t>
  </si>
  <si>
    <t>P90</t>
  </si>
  <si>
    <t>CEO and EXECUTIVE DIRECTOR</t>
  </si>
  <si>
    <t>Management Team </t>
  </si>
  <si>
    <t>Board of Directors</t>
  </si>
  <si>
    <t>Chief Operating Officer</t>
  </si>
  <si>
    <t>CEO</t>
  </si>
  <si>
    <t>Chief Communication and Experience Officer (CCXO)</t>
  </si>
  <si>
    <t>Chief Operating Officer </t>
  </si>
  <si>
    <t>Director of Psychometrics and Assessment</t>
  </si>
  <si>
    <t>Assessment Design</t>
  </si>
  <si>
    <t>IT Operations Manager/Database Manager</t>
  </si>
  <si>
    <t>IT Manager</t>
  </si>
  <si>
    <t xml:space="preserve">Exam Development Manager </t>
  </si>
  <si>
    <t>Assessment Design Manager</t>
  </si>
  <si>
    <t>Continuing Certification Program Manager</t>
  </si>
  <si>
    <t>Certification Experience</t>
  </si>
  <si>
    <t>Oral Exam Administration Manager</t>
  </si>
  <si>
    <t>Volunteer Process Specialist</t>
  </si>
  <si>
    <t>Initial Certification Coordinator</t>
  </si>
  <si>
    <t>Certification Experience Assistant (Administrative Assistant)</t>
  </si>
  <si>
    <t>Total Incentive Market Averages (Annual)</t>
  </si>
  <si>
    <t>Total Incentive Market Averages (Annual) as Percent of Market Base</t>
  </si>
  <si>
    <t>Current Total Cash</t>
  </si>
  <si>
    <t>Total Cash Market Averages (Annual)</t>
  </si>
  <si>
    <t>Current Total Cash vs. Market Averages (Annual)</t>
  </si>
  <si>
    <t>Base Pay Market Ranges(Annual) 50% Wide ranges</t>
  </si>
  <si>
    <t>Minimum</t>
  </si>
  <si>
    <t>Q2</t>
  </si>
  <si>
    <t>Q4</t>
  </si>
  <si>
    <t>Maximum</t>
  </si>
  <si>
    <t>Compa</t>
  </si>
  <si>
    <t xml:space="preserve">$ to </t>
  </si>
  <si>
    <t>$ to</t>
  </si>
  <si>
    <t>Fully Competent</t>
  </si>
  <si>
    <t>Ratio</t>
  </si>
  <si>
    <t>Minimmum</t>
  </si>
  <si>
    <t>Job Title</t>
  </si>
  <si>
    <t>% of Base Pay @ Target</t>
  </si>
  <si>
    <t>Annual Base Rate</t>
  </si>
  <si>
    <t>Individual KPI Outcome Scorecard</t>
  </si>
  <si>
    <t>Key Performance Indicator</t>
  </si>
  <si>
    <t>Outcome as % of Expectation =</t>
  </si>
  <si>
    <t>@ 100% Outcome (Meets Expectations)</t>
  </si>
  <si>
    <t xml:space="preserve">Organizational Awareness  Target = </t>
  </si>
  <si>
    <t xml:space="preserve">Accountability Target = </t>
  </si>
  <si>
    <t xml:space="preserve">Customer Focus Target = </t>
  </si>
  <si>
    <t xml:space="preserve">Teamwork Target = </t>
  </si>
  <si>
    <t>Technical &amp; Professional Competence Target =</t>
  </si>
  <si>
    <t>ABO Ambasadorship Target =</t>
  </si>
  <si>
    <t>Overall Position Performance Target =</t>
  </si>
  <si>
    <t>Smart Goal #1: Target =</t>
  </si>
  <si>
    <t>Smart Goal #2 Target =</t>
  </si>
  <si>
    <t>Total STIP</t>
  </si>
  <si>
    <t>Regional Base Pay Ranges</t>
  </si>
  <si>
    <t>Region E (116.7%)</t>
  </si>
  <si>
    <t>Region A (89.2%)</t>
  </si>
  <si>
    <t>Region B (96.9%)</t>
  </si>
  <si>
    <t>Region C (104.2%)</t>
  </si>
  <si>
    <t>Region D (109.7%)</t>
  </si>
  <si>
    <t>Region F (124.1%)</t>
  </si>
  <si>
    <t>Proposed Grade</t>
  </si>
  <si>
    <r>
      <t>Ba</t>
    </r>
    <r>
      <rPr>
        <b/>
        <sz val="11"/>
        <rFont val="Calibri"/>
        <family val="2"/>
        <scheme val="minor"/>
      </rPr>
      <t>se Pay Range: P50 Target &amp; 50% Range Spread</t>
    </r>
  </si>
  <si>
    <t>Region</t>
  </si>
  <si>
    <t>Min</t>
  </si>
  <si>
    <t>Mid</t>
  </si>
  <si>
    <t>Max</t>
  </si>
  <si>
    <t>Sr Engagement &amp; Brand Mgr</t>
  </si>
  <si>
    <t>A</t>
  </si>
  <si>
    <t>AW Editor &amp; Mgr Tech Info</t>
  </si>
  <si>
    <t>B</t>
  </si>
  <si>
    <t>Senior Editor JVIB</t>
  </si>
  <si>
    <t>C</t>
  </si>
  <si>
    <t>Software Development Engineer</t>
  </si>
  <si>
    <t>D</t>
  </si>
  <si>
    <t>Senior Accessibility Engineer</t>
  </si>
  <si>
    <t>E</t>
  </si>
  <si>
    <t>Accounting Manager</t>
  </si>
  <si>
    <t>F</t>
  </si>
  <si>
    <t>Business Devel &amp; Sales Lead</t>
  </si>
  <si>
    <t>Business Systems Manager</t>
  </si>
  <si>
    <t>Tech Development Lead</t>
  </si>
  <si>
    <t>Manager Public Relations</t>
  </si>
  <si>
    <t>Accessibility Engineer</t>
  </si>
  <si>
    <t>Natl Aging &amp; Vision Loss Spcls</t>
  </si>
  <si>
    <t>Information Systems Lead</t>
  </si>
  <si>
    <t>Database Manager</t>
  </si>
  <si>
    <t>Policy Research Specialist</t>
  </si>
  <si>
    <t>Manager Executive Office</t>
  </si>
  <si>
    <t>Major Gift Specialist</t>
  </si>
  <si>
    <t>AccessWorld Tech Info Spec</t>
  </si>
  <si>
    <t>Public Policy &amp; Rsrch Advisor</t>
  </si>
  <si>
    <t>Hr Generalist</t>
  </si>
  <si>
    <t>Digital Content Coordinator</t>
  </si>
  <si>
    <t>Executive Admin Assistant</t>
  </si>
  <si>
    <t>Admin Asst Knowledge Advancem</t>
  </si>
  <si>
    <t>Stewardship Coordinator</t>
  </si>
  <si>
    <t>Staff Accountant</t>
  </si>
  <si>
    <t>Resource Development Coord</t>
  </si>
  <si>
    <t>Direct Response Coordinator</t>
  </si>
  <si>
    <t>Administrative Coordinator</t>
  </si>
  <si>
    <t>Base Pay Range: Range Max P75 Target &amp; 60% Range Spread</t>
  </si>
  <si>
    <t xml:space="preserve">Chief Knowledge Adv Officer </t>
  </si>
  <si>
    <t>-</t>
  </si>
  <si>
    <t>PRESIDENT &amp; CEO</t>
  </si>
  <si>
    <t>Max = P75</t>
  </si>
  <si>
    <t>Dir Knowledge Advancement Prog</t>
  </si>
  <si>
    <t>Chief Consulting Solutions Ofc</t>
  </si>
  <si>
    <t xml:space="preserve">Chief Business Officer </t>
  </si>
  <si>
    <t>Director Public Policy</t>
  </si>
  <si>
    <t>Chief Public Pol &amp; Rsrch Ofcr</t>
  </si>
  <si>
    <t>Associate Director Major Gifts</t>
  </si>
  <si>
    <t>Director IT Services</t>
  </si>
  <si>
    <t>Director of Development</t>
  </si>
  <si>
    <t>Chief Community Engagement Off</t>
  </si>
  <si>
    <t>Director Communications</t>
  </si>
  <si>
    <t>CHIEF HR &amp; PLANNING OFFICER</t>
  </si>
  <si>
    <t>Operations Team </t>
  </si>
  <si>
    <t>Experience</t>
  </si>
  <si>
    <t>Target Rate</t>
  </si>
  <si>
    <t>2.5% Above the Min per Year</t>
  </si>
  <si>
    <t>Capped at the Maximum</t>
  </si>
  <si>
    <t>in the Position</t>
  </si>
  <si>
    <t>Assessment Design Lead</t>
  </si>
  <si>
    <t>Entry/Learning Competency</t>
  </si>
  <si>
    <t>Advanced/Expert Competency</t>
  </si>
  <si>
    <t>Adjustment as % of Total Payroll</t>
  </si>
  <si>
    <t>@110% Outcome (Greatly Exceeds Expectation)</t>
  </si>
  <si>
    <t>@105% Outcome (Exceeds Expectation)</t>
  </si>
  <si>
    <t>@ 95% Outcome       (Often Meets Expectations)</t>
  </si>
  <si>
    <t>@ 90% Outcome (Seldom Meets Expectations)</t>
  </si>
  <si>
    <t>4.5% Annualized</t>
  </si>
  <si>
    <t>Weight</t>
  </si>
  <si>
    <t>Payout %</t>
  </si>
  <si>
    <t>COO</t>
  </si>
  <si>
    <t xml:space="preserve">Annual Performance Bonus Scorecard </t>
  </si>
  <si>
    <t>Not Competent</t>
  </si>
  <si>
    <t xml:space="preserve">Learning/ Developmental </t>
  </si>
  <si>
    <t>Advanced/ Expert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</si>
</sst>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64" formatCode="&quot;$&quot;#,##0"/>
    <numFmt numFmtId="165" formatCode="&quot;$&quot;#,##0.00"/>
    <numFmt numFmtId="166" formatCode="0.0%"/>
  </numFmts>
  <fonts count="17" x14ac:knownFonts="1">
    <font>
      <sz val="11"/>
      <color theme="1"/>
      <name val="Calibri"/>
      <family val="2"/>
      <scheme val="minor"/>
    </font>
    <font>
      <b/>
      <sz val="11"/>
      <color theme="1"/>
      <name val="Calibri"/>
      <family val="2"/>
      <scheme val="minor"/>
    </font>
    <font>
      <sz val="11"/>
      <color theme="1"/>
      <name val="Calibri"/>
      <family val="2"/>
      <scheme val="minor"/>
    </font>
    <font>
      <b/>
      <sz val="12"/>
      <color rgb="FF000000"/>
      <name val="Calibri"/>
      <family val="2"/>
    </font>
    <font>
      <sz val="11"/>
      <color rgb="FF000000"/>
      <name val="Calibri"/>
      <family val="2"/>
    </font>
    <font>
      <sz val="11"/>
      <name val="Calibri"/>
      <family val="2"/>
      <scheme val="minor"/>
    </font>
    <font>
      <b/>
      <sz val="11"/>
      <name val="Calibri"/>
      <family val="2"/>
      <scheme val="minor"/>
    </font>
    <font>
      <b/>
      <sz val="12"/>
      <name val="Calibri"/>
      <family val="2"/>
      <scheme val="minor"/>
    </font>
    <font>
      <b/>
      <sz val="12"/>
      <name val="Calibri"/>
      <family val="2"/>
    </font>
    <font>
      <b/>
      <sz val="11"/>
      <color indexed="8"/>
      <name val="Calibri"/>
      <family val="2"/>
      <scheme val="minor"/>
    </font>
    <font>
      <b/>
      <sz val="11"/>
      <name val="Calibri"/>
      <family val="2"/>
    </font>
    <font>
      <sz val="10"/>
      <color rgb="FF000000"/>
      <name val="Arial"/>
      <family val="2"/>
    </font>
    <font>
      <b/>
      <sz val="10"/>
      <color rgb="FFC00000"/>
      <name val="Calibri"/>
      <family val="2"/>
      <scheme val="minor"/>
    </font>
    <font>
      <sz val="10"/>
      <color rgb="FF000000"/>
      <name val="Calibri"/>
      <family val="2"/>
      <scheme val="minor"/>
    </font>
    <font>
      <sz val="10"/>
      <color theme="1"/>
      <name val="Arial"/>
      <family val="2"/>
    </font>
    <font>
      <b/>
      <sz val="10"/>
      <color rgb="FF000000"/>
      <name val="Calibri"/>
      <family val="2"/>
      <scheme val="minor"/>
    </font>
    <font>
      <b/>
      <sz val="12"/>
      <name val="Arial"/>
      <family val="2"/>
    </font>
  </fonts>
  <fills count="14">
    <fill>
      <patternFill patternType="none"/>
    </fill>
    <fill>
      <patternFill patternType="gray125"/>
    </fill>
    <fill>
      <patternFill patternType="solid">
        <fgColor rgb="FFD9D9D9"/>
        <bgColor indexed="64"/>
      </patternFill>
    </fill>
    <fill>
      <patternFill patternType="solid">
        <fgColor theme="1"/>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4" tint="0.79998168889431442"/>
        <bgColor indexed="64"/>
      </patternFill>
    </fill>
    <fill>
      <patternFill patternType="solid">
        <fgColor rgb="FF92D050"/>
        <bgColor indexed="64"/>
      </patternFill>
    </fill>
    <fill>
      <patternFill patternType="solid">
        <fgColor theme="7"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0" fontId="2" fillId="0" borderId="0"/>
  </cellStyleXfs>
  <cellXfs count="175">
    <xf numFmtId="0" fontId="0" fillId="0" borderId="0" xfId="0"/>
    <xf numFmtId="0" fontId="0" fillId="0" borderId="0" xfId="0" applyAlignment="1">
      <alignment horizontal="center" vertical="center"/>
    </xf>
    <xf numFmtId="164" fontId="0" fillId="0" borderId="0" xfId="0" applyNumberFormat="1" applyAlignment="1">
      <alignment horizontal="center" vertical="center"/>
    </xf>
    <xf numFmtId="0" fontId="1" fillId="0" borderId="1" xfId="0" applyFont="1" applyBorder="1" applyAlignment="1">
      <alignment horizontal="left" vertical="center"/>
    </xf>
    <xf numFmtId="164" fontId="0" fillId="0" borderId="1" xfId="0" applyNumberForma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left" vertical="center"/>
    </xf>
    <xf numFmtId="164" fontId="4" fillId="0" borderId="1" xfId="0" applyNumberFormat="1" applyFont="1" applyBorder="1" applyAlignment="1">
      <alignment horizontal="center" vertical="center"/>
    </xf>
    <xf numFmtId="0" fontId="0" fillId="0" borderId="1" xfId="0" applyBorder="1"/>
    <xf numFmtId="164" fontId="1" fillId="0" borderId="1" xfId="0" applyNumberFormat="1" applyFont="1" applyBorder="1" applyAlignment="1">
      <alignment horizontal="center" vertical="center"/>
    </xf>
    <xf numFmtId="0" fontId="0" fillId="0" borderId="1" xfId="0" applyBorder="1" applyAlignment="1">
      <alignment horizontal="left"/>
    </xf>
    <xf numFmtId="0" fontId="3" fillId="2" borderId="2" xfId="0" applyFont="1" applyFill="1" applyBorder="1" applyAlignment="1">
      <alignment horizontal="center" vertical="center"/>
    </xf>
    <xf numFmtId="0" fontId="3" fillId="2" borderId="3" xfId="0" applyFont="1" applyFill="1" applyBorder="1" applyAlignment="1">
      <alignment vertical="center"/>
    </xf>
    <xf numFmtId="0" fontId="4" fillId="0" borderId="0" xfId="0" applyFont="1" applyAlignment="1">
      <alignment horizontal="left" vertical="center"/>
    </xf>
    <xf numFmtId="165" fontId="1" fillId="3" borderId="1" xfId="0" applyNumberFormat="1" applyFont="1" applyFill="1" applyBorder="1" applyAlignment="1">
      <alignment horizontal="center" vertical="center" wrapText="1"/>
    </xf>
    <xf numFmtId="165" fontId="1" fillId="3" borderId="1" xfId="0" applyNumberFormat="1" applyFont="1" applyFill="1" applyBorder="1" applyAlignment="1">
      <alignment horizontal="center" vertical="center"/>
    </xf>
    <xf numFmtId="164" fontId="4" fillId="3" borderId="1" xfId="0" applyNumberFormat="1" applyFont="1" applyFill="1" applyBorder="1" applyAlignment="1">
      <alignment horizontal="center" vertical="center"/>
    </xf>
    <xf numFmtId="164" fontId="0" fillId="3" borderId="1" xfId="0" applyNumberFormat="1" applyFill="1" applyBorder="1"/>
    <xf numFmtId="164" fontId="0" fillId="0" borderId="0" xfId="0" applyNumberFormat="1"/>
    <xf numFmtId="166" fontId="0" fillId="0" borderId="0" xfId="0" applyNumberFormat="1"/>
    <xf numFmtId="1" fontId="4" fillId="0" borderId="1" xfId="0" applyNumberFormat="1" applyFont="1" applyBorder="1" applyAlignment="1">
      <alignment horizontal="center" vertical="center"/>
    </xf>
    <xf numFmtId="1"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xf>
    <xf numFmtId="1" fontId="0" fillId="0" borderId="1" xfId="0" applyNumberFormat="1" applyBorder="1"/>
    <xf numFmtId="1" fontId="0" fillId="0" borderId="0" xfId="0" applyNumberFormat="1"/>
    <xf numFmtId="1" fontId="0" fillId="0" borderId="0" xfId="0" applyNumberFormat="1" applyAlignment="1">
      <alignment horizontal="center" vertical="center"/>
    </xf>
    <xf numFmtId="1" fontId="0" fillId="0" borderId="1" xfId="0" applyNumberFormat="1" applyBorder="1" applyAlignment="1">
      <alignment horizontal="center"/>
    </xf>
    <xf numFmtId="164" fontId="0" fillId="0" borderId="4" xfId="0" applyNumberFormat="1" applyBorder="1" applyAlignment="1">
      <alignment horizontal="center" vertical="center"/>
    </xf>
    <xf numFmtId="0" fontId="5" fillId="0" borderId="1" xfId="0" applyFont="1" applyBorder="1"/>
    <xf numFmtId="0" fontId="7" fillId="0" borderId="0" xfId="0" applyFont="1" applyAlignment="1">
      <alignment vertical="center" wrapText="1"/>
    </xf>
    <xf numFmtId="0" fontId="7" fillId="3" borderId="8" xfId="0" applyFont="1" applyFill="1" applyBorder="1" applyAlignment="1">
      <alignment horizontal="left" vertical="center" wrapText="1"/>
    </xf>
    <xf numFmtId="164" fontId="7" fillId="3" borderId="1" xfId="0" applyNumberFormat="1" applyFont="1" applyFill="1" applyBorder="1" applyAlignment="1">
      <alignment horizontal="center" vertical="center" wrapText="1"/>
    </xf>
    <xf numFmtId="165" fontId="7" fillId="4" borderId="1" xfId="0" applyNumberFormat="1" applyFont="1" applyFill="1" applyBorder="1" applyAlignment="1">
      <alignment horizontal="center" vertical="center" wrapText="1"/>
    </xf>
    <xf numFmtId="164" fontId="7" fillId="4" borderId="1" xfId="0" applyNumberFormat="1" applyFont="1" applyFill="1" applyBorder="1" applyAlignment="1">
      <alignment horizontal="center" vertical="center" wrapText="1"/>
    </xf>
    <xf numFmtId="165" fontId="7" fillId="5" borderId="1" xfId="0" applyNumberFormat="1" applyFont="1" applyFill="1" applyBorder="1" applyAlignment="1">
      <alignment horizontal="center" vertical="center" wrapText="1"/>
    </xf>
    <xf numFmtId="164" fontId="7" fillId="5" borderId="1" xfId="0" applyNumberFormat="1" applyFont="1" applyFill="1" applyBorder="1" applyAlignment="1">
      <alignment horizontal="center" vertical="center" wrapText="1"/>
    </xf>
    <xf numFmtId="164" fontId="7" fillId="0" borderId="0" xfId="0" applyNumberFormat="1" applyFont="1" applyAlignment="1">
      <alignment horizontal="center" vertical="center" wrapText="1"/>
    </xf>
    <xf numFmtId="165"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7" fillId="0" borderId="8" xfId="0" applyFont="1" applyBorder="1" applyAlignment="1">
      <alignment horizontal="left" vertical="center" wrapText="1"/>
    </xf>
    <xf numFmtId="164" fontId="7" fillId="0" borderId="1" xfId="0" applyNumberFormat="1" applyFont="1" applyBorder="1" applyAlignment="1">
      <alignment horizontal="center" vertical="center" wrapText="1"/>
    </xf>
    <xf numFmtId="165" fontId="7" fillId="0" borderId="1" xfId="0" applyNumberFormat="1" applyFont="1" applyBorder="1" applyAlignment="1">
      <alignment horizontal="center" vertical="center" wrapText="1"/>
    </xf>
    <xf numFmtId="164" fontId="7" fillId="3" borderId="1" xfId="0" applyNumberFormat="1" applyFont="1" applyFill="1" applyBorder="1" applyAlignment="1">
      <alignment horizontal="left" vertical="center" wrapText="1"/>
    </xf>
    <xf numFmtId="0" fontId="7" fillId="0" borderId="5" xfId="0" applyFont="1" applyBorder="1" applyAlignment="1">
      <alignment horizontal="left" vertical="center" wrapText="1"/>
    </xf>
    <xf numFmtId="0" fontId="7" fillId="3" borderId="1" xfId="0" applyFont="1" applyFill="1" applyBorder="1" applyAlignment="1">
      <alignment horizontal="left" vertical="center" wrapText="1"/>
    </xf>
    <xf numFmtId="164" fontId="7" fillId="3" borderId="6" xfId="0" applyNumberFormat="1" applyFont="1" applyFill="1" applyBorder="1" applyAlignment="1">
      <alignment horizontal="left" vertical="center" wrapText="1"/>
    </xf>
    <xf numFmtId="0" fontId="7" fillId="3" borderId="6" xfId="0" applyFont="1" applyFill="1" applyBorder="1" applyAlignment="1">
      <alignment horizontal="left" vertical="center" wrapText="1"/>
    </xf>
    <xf numFmtId="164" fontId="7" fillId="0" borderId="0" xfId="0" applyNumberFormat="1" applyFont="1" applyAlignment="1">
      <alignment vertical="center" wrapText="1"/>
    </xf>
    <xf numFmtId="10" fontId="7" fillId="3" borderId="6" xfId="0" applyNumberFormat="1" applyFont="1" applyFill="1" applyBorder="1" applyAlignment="1">
      <alignment horizontal="left" vertical="center" wrapText="1"/>
    </xf>
    <xf numFmtId="10" fontId="7" fillId="3" borderId="7" xfId="0" applyNumberFormat="1" applyFont="1" applyFill="1" applyBorder="1" applyAlignment="1">
      <alignment horizontal="left" vertical="center" wrapText="1"/>
    </xf>
    <xf numFmtId="10" fontId="7" fillId="3" borderId="1" xfId="0" applyNumberFormat="1" applyFont="1" applyFill="1" applyBorder="1" applyAlignment="1">
      <alignment horizontal="left" vertical="center" wrapText="1"/>
    </xf>
    <xf numFmtId="10" fontId="7" fillId="3" borderId="9" xfId="0" applyNumberFormat="1" applyFont="1" applyFill="1" applyBorder="1" applyAlignment="1">
      <alignment horizontal="left" vertical="center" wrapText="1"/>
    </xf>
    <xf numFmtId="10" fontId="7" fillId="0" borderId="1" xfId="0" applyNumberFormat="1" applyFont="1" applyBorder="1" applyAlignment="1">
      <alignment horizontal="center" vertical="center" wrapText="1"/>
    </xf>
    <xf numFmtId="10" fontId="7" fillId="4" borderId="1" xfId="0" applyNumberFormat="1" applyFont="1" applyFill="1" applyBorder="1" applyAlignment="1">
      <alignment horizontal="center" vertical="center" wrapText="1"/>
    </xf>
    <xf numFmtId="10" fontId="7" fillId="0" borderId="0" xfId="0" applyNumberFormat="1" applyFont="1" applyAlignment="1">
      <alignment horizontal="center" vertical="center" wrapText="1"/>
    </xf>
    <xf numFmtId="10" fontId="7" fillId="0" borderId="0" xfId="0" applyNumberFormat="1" applyFont="1" applyAlignment="1">
      <alignment vertical="center" wrapText="1"/>
    </xf>
    <xf numFmtId="0" fontId="7" fillId="3" borderId="6" xfId="0" applyFont="1" applyFill="1" applyBorder="1" applyAlignment="1">
      <alignment horizontal="center" vertical="center" wrapText="1"/>
    </xf>
    <xf numFmtId="0" fontId="7" fillId="3" borderId="1" xfId="0" applyFont="1" applyFill="1" applyBorder="1" applyAlignment="1">
      <alignment horizontal="center" vertical="center" wrapText="1"/>
    </xf>
    <xf numFmtId="10" fontId="7" fillId="7" borderId="1" xfId="0" applyNumberFormat="1" applyFont="1" applyFill="1" applyBorder="1" applyAlignment="1">
      <alignment horizontal="center" vertical="center" wrapText="1"/>
    </xf>
    <xf numFmtId="165" fontId="7" fillId="3" borderId="1" xfId="0" applyNumberFormat="1" applyFont="1" applyFill="1" applyBorder="1" applyAlignment="1">
      <alignment horizontal="center" vertical="center" wrapText="1"/>
    </xf>
    <xf numFmtId="0" fontId="7" fillId="3" borderId="1" xfId="0" applyFont="1" applyFill="1" applyBorder="1" applyAlignment="1">
      <alignment vertical="center" wrapText="1"/>
    </xf>
    <xf numFmtId="0" fontId="7" fillId="3" borderId="9" xfId="0" applyFont="1" applyFill="1" applyBorder="1" applyAlignment="1">
      <alignment horizontal="center" vertical="center" wrapText="1"/>
    </xf>
    <xf numFmtId="165" fontId="7" fillId="0" borderId="9" xfId="0" applyNumberFormat="1" applyFont="1" applyBorder="1" applyAlignment="1">
      <alignment horizontal="center" vertical="center" wrapText="1"/>
    </xf>
    <xf numFmtId="0" fontId="7" fillId="7" borderId="1" xfId="0" applyFont="1" applyFill="1" applyBorder="1" applyAlignment="1">
      <alignment horizontal="center" vertical="center" wrapText="1"/>
    </xf>
    <xf numFmtId="0" fontId="7" fillId="7" borderId="9" xfId="0" applyFont="1" applyFill="1" applyBorder="1" applyAlignment="1">
      <alignment horizontal="center" vertical="center" wrapText="1"/>
    </xf>
    <xf numFmtId="3" fontId="8" fillId="3" borderId="1" xfId="0" applyNumberFormat="1" applyFont="1" applyFill="1" applyBorder="1" applyAlignment="1">
      <alignment horizontal="center" vertical="center" wrapText="1"/>
    </xf>
    <xf numFmtId="3" fontId="8" fillId="7" borderId="1" xfId="0" applyNumberFormat="1" applyFont="1" applyFill="1" applyBorder="1" applyAlignment="1">
      <alignment horizontal="center" vertical="center" wrapText="1"/>
    </xf>
    <xf numFmtId="0" fontId="7" fillId="3" borderId="6" xfId="0" applyFont="1" applyFill="1" applyBorder="1" applyAlignment="1">
      <alignment vertical="center" wrapText="1"/>
    </xf>
    <xf numFmtId="0" fontId="7" fillId="3" borderId="7" xfId="0" applyFont="1" applyFill="1" applyBorder="1" applyAlignment="1">
      <alignment vertical="center" wrapText="1"/>
    </xf>
    <xf numFmtId="0" fontId="7" fillId="3" borderId="10" xfId="0" applyFont="1" applyFill="1" applyBorder="1" applyAlignment="1">
      <alignment vertical="center" wrapText="1"/>
    </xf>
    <xf numFmtId="164" fontId="7" fillId="3" borderId="11" xfId="0" applyNumberFormat="1" applyFont="1" applyFill="1" applyBorder="1" applyAlignment="1">
      <alignment horizontal="center" vertical="center" wrapText="1"/>
    </xf>
    <xf numFmtId="165" fontId="7" fillId="7" borderId="11" xfId="0" applyNumberFormat="1" applyFont="1" applyFill="1" applyBorder="1" applyAlignment="1">
      <alignment horizontal="center" vertical="center" wrapText="1"/>
    </xf>
    <xf numFmtId="10" fontId="7" fillId="7" borderId="1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165" fontId="7" fillId="6" borderId="1" xfId="0" applyNumberFormat="1" applyFont="1" applyFill="1" applyBorder="1" applyAlignment="1">
      <alignment horizontal="center" vertical="center" wrapText="1"/>
    </xf>
    <xf numFmtId="3" fontId="8" fillId="6" borderId="1" xfId="0" applyNumberFormat="1" applyFont="1" applyFill="1" applyBorder="1" applyAlignment="1">
      <alignment horizontal="center" vertical="center" wrapText="1"/>
    </xf>
    <xf numFmtId="0" fontId="8" fillId="2" borderId="8" xfId="0" applyFont="1" applyFill="1" applyBorder="1" applyAlignment="1">
      <alignment horizontal="center" vertical="center" wrapText="1"/>
    </xf>
    <xf numFmtId="0" fontId="9" fillId="8" borderId="8"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9" fillId="0" borderId="8" xfId="0" applyFont="1" applyBorder="1" applyAlignment="1">
      <alignment vertical="center" wrapText="1"/>
    </xf>
    <xf numFmtId="0" fontId="9" fillId="7" borderId="10" xfId="0" applyFont="1" applyFill="1" applyBorder="1" applyAlignment="1">
      <alignment horizontal="center" vertical="center" wrapText="1"/>
    </xf>
    <xf numFmtId="10" fontId="9" fillId="7" borderId="11" xfId="0" applyNumberFormat="1" applyFont="1" applyFill="1" applyBorder="1" applyAlignment="1">
      <alignment horizontal="center" vertical="center" wrapText="1"/>
    </xf>
    <xf numFmtId="1" fontId="10" fillId="11" borderId="8" xfId="0" applyNumberFormat="1" applyFont="1" applyFill="1" applyBorder="1" applyAlignment="1">
      <alignment vertical="center" wrapText="1"/>
    </xf>
    <xf numFmtId="9" fontId="10" fillId="11" borderId="1" xfId="0" applyNumberFormat="1" applyFont="1" applyFill="1" applyBorder="1" applyAlignment="1">
      <alignment horizontal="center" vertical="center" wrapText="1"/>
    </xf>
    <xf numFmtId="164" fontId="10" fillId="11" borderId="1" xfId="0" applyNumberFormat="1" applyFont="1" applyFill="1" applyBorder="1" applyAlignment="1">
      <alignment horizontal="center" vertical="center" wrapText="1"/>
    </xf>
    <xf numFmtId="0" fontId="7" fillId="0" borderId="8" xfId="0" applyFont="1" applyBorder="1" applyAlignment="1">
      <alignment vertical="center" wrapText="1"/>
    </xf>
    <xf numFmtId="0" fontId="7" fillId="0" borderId="1" xfId="0" applyFont="1" applyBorder="1" applyAlignment="1">
      <alignment horizontal="center" vertical="center" wrapText="1"/>
    </xf>
    <xf numFmtId="0" fontId="7" fillId="0" borderId="10" xfId="0" applyFont="1" applyBorder="1" applyAlignment="1">
      <alignment vertical="center" wrapText="1"/>
    </xf>
    <xf numFmtId="0" fontId="7" fillId="0" borderId="9" xfId="0" applyFont="1" applyBorder="1" applyAlignment="1">
      <alignment horizontal="center" vertical="center" wrapText="1"/>
    </xf>
    <xf numFmtId="0" fontId="7" fillId="0" borderId="1" xfId="0" applyFont="1" applyBorder="1" applyAlignment="1">
      <alignment horizontal="left" vertical="center" wrapText="1"/>
    </xf>
    <xf numFmtId="164" fontId="7" fillId="6" borderId="1" xfId="0" applyNumberFormat="1" applyFont="1" applyFill="1" applyBorder="1" applyAlignment="1">
      <alignment horizontal="center" vertical="center" wrapText="1"/>
    </xf>
    <xf numFmtId="164" fontId="7" fillId="9" borderId="1" xfId="0" applyNumberFormat="1" applyFont="1" applyFill="1" applyBorder="1" applyAlignment="1">
      <alignment horizontal="center" vertical="center" wrapText="1"/>
    </xf>
    <xf numFmtId="164" fontId="7" fillId="7"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7" fillId="3" borderId="11" xfId="0" applyFont="1" applyFill="1" applyBorder="1" applyAlignment="1">
      <alignment horizontal="center" vertical="center" wrapText="1"/>
    </xf>
    <xf numFmtId="165" fontId="7" fillId="3" borderId="11" xfId="0" applyNumberFormat="1" applyFont="1" applyFill="1" applyBorder="1" applyAlignment="1">
      <alignment horizontal="center" vertical="center" wrapText="1"/>
    </xf>
    <xf numFmtId="0" fontId="7" fillId="7" borderId="1" xfId="0" applyFont="1" applyFill="1" applyBorder="1" applyAlignment="1">
      <alignment horizontal="left" vertical="center" wrapText="1"/>
    </xf>
    <xf numFmtId="0" fontId="7" fillId="6" borderId="1" xfId="0" applyFont="1" applyFill="1" applyBorder="1" applyAlignment="1">
      <alignment horizontal="left" vertical="center" wrapText="1"/>
    </xf>
    <xf numFmtId="0" fontId="7" fillId="5" borderId="1" xfId="0" applyFont="1" applyFill="1" applyBorder="1" applyAlignment="1">
      <alignment horizontal="center" vertical="center" wrapText="1"/>
    </xf>
    <xf numFmtId="0" fontId="16" fillId="0" borderId="1" xfId="0" applyFont="1" applyBorder="1" applyAlignment="1">
      <alignment vertical="center" wrapText="1"/>
    </xf>
    <xf numFmtId="0" fontId="16" fillId="3" borderId="1" xfId="0" applyFont="1" applyFill="1" applyBorder="1" applyAlignment="1">
      <alignment vertical="center" wrapText="1"/>
    </xf>
    <xf numFmtId="164" fontId="7" fillId="12" borderId="1" xfId="0" applyNumberFormat="1" applyFont="1" applyFill="1" applyBorder="1" applyAlignment="1">
      <alignment horizontal="center" vertical="center" wrapText="1"/>
    </xf>
    <xf numFmtId="164" fontId="7" fillId="13" borderId="1" xfId="0" applyNumberFormat="1" applyFont="1" applyFill="1" applyBorder="1" applyAlignment="1">
      <alignment horizontal="center" vertical="center" wrapText="1"/>
    </xf>
    <xf numFmtId="0" fontId="7" fillId="3" borderId="0" xfId="0" applyFont="1" applyFill="1" applyAlignment="1">
      <alignment vertical="center" wrapText="1"/>
    </xf>
    <xf numFmtId="165" fontId="7" fillId="3" borderId="14" xfId="0" applyNumberFormat="1" applyFont="1" applyFill="1" applyBorder="1" applyAlignment="1">
      <alignment horizontal="center" vertical="center" wrapText="1"/>
    </xf>
    <xf numFmtId="165" fontId="7" fillId="7" borderId="15" xfId="0" applyNumberFormat="1" applyFont="1" applyFill="1" applyBorder="1" applyAlignment="1">
      <alignment horizontal="center" vertical="center" wrapText="1"/>
    </xf>
    <xf numFmtId="0" fontId="7" fillId="9" borderId="13" xfId="0" applyFont="1" applyFill="1" applyBorder="1" applyAlignment="1">
      <alignment vertical="center" wrapText="1"/>
    </xf>
    <xf numFmtId="10" fontId="7" fillId="9" borderId="16" xfId="0" applyNumberFormat="1" applyFont="1" applyFill="1" applyBorder="1" applyAlignment="1">
      <alignment horizontal="center" vertical="center" wrapText="1"/>
    </xf>
    <xf numFmtId="10" fontId="7" fillId="9" borderId="17" xfId="0" applyNumberFormat="1" applyFont="1" applyFill="1" applyBorder="1" applyAlignment="1">
      <alignment horizontal="center" vertical="center" wrapText="1"/>
    </xf>
    <xf numFmtId="165" fontId="7" fillId="9" borderId="11" xfId="0" applyNumberFormat="1" applyFont="1" applyFill="1" applyBorder="1" applyAlignment="1">
      <alignment horizontal="center" vertical="center" wrapText="1"/>
    </xf>
    <xf numFmtId="0" fontId="0" fillId="0" borderId="9" xfId="0" applyBorder="1"/>
    <xf numFmtId="0" fontId="0" fillId="0" borderId="8" xfId="0" applyBorder="1"/>
    <xf numFmtId="0" fontId="7" fillId="0" borderId="18" xfId="0" applyFont="1" applyBorder="1" applyAlignment="1">
      <alignment vertical="center" wrapText="1"/>
    </xf>
    <xf numFmtId="0" fontId="7" fillId="0" borderId="4"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1" xfId="0" applyFont="1" applyBorder="1" applyAlignment="1">
      <alignment horizontal="right" vertical="center" wrapText="1"/>
    </xf>
    <xf numFmtId="6" fontId="7" fillId="0" borderId="12" xfId="0" applyNumberFormat="1" applyFont="1" applyBorder="1" applyAlignment="1">
      <alignment horizontal="left" vertical="center" wrapText="1"/>
    </xf>
    <xf numFmtId="10" fontId="9" fillId="12" borderId="1" xfId="0" applyNumberFormat="1" applyFont="1" applyFill="1" applyBorder="1" applyAlignment="1">
      <alignment horizontal="center" vertical="center" wrapText="1"/>
    </xf>
    <xf numFmtId="0" fontId="9" fillId="7" borderId="1" xfId="0" quotePrefix="1" applyFont="1" applyFill="1" applyBorder="1" applyAlignment="1">
      <alignment horizontal="center" vertical="center" wrapText="1"/>
    </xf>
    <xf numFmtId="10" fontId="9" fillId="7" borderId="1" xfId="0" applyNumberFormat="1" applyFont="1" applyFill="1" applyBorder="1" applyAlignment="1">
      <alignment horizontal="center" vertical="center" wrapText="1"/>
    </xf>
    <xf numFmtId="10" fontId="9" fillId="7" borderId="1" xfId="0" quotePrefix="1" applyNumberFormat="1" applyFont="1" applyFill="1" applyBorder="1" applyAlignment="1">
      <alignment horizontal="center" vertical="center" wrapText="1"/>
    </xf>
    <xf numFmtId="10" fontId="9" fillId="3" borderId="1" xfId="0" applyNumberFormat="1" applyFont="1" applyFill="1" applyBorder="1" applyAlignment="1">
      <alignment horizontal="center" vertical="center" wrapText="1"/>
    </xf>
    <xf numFmtId="10" fontId="9" fillId="3" borderId="1" xfId="0" quotePrefix="1" applyNumberFormat="1" applyFont="1" applyFill="1" applyBorder="1" applyAlignment="1">
      <alignment horizontal="center" vertical="center" wrapText="1"/>
    </xf>
    <xf numFmtId="0" fontId="9" fillId="7" borderId="9" xfId="0" quotePrefix="1" applyFont="1" applyFill="1" applyBorder="1" applyAlignment="1">
      <alignment horizontal="center" vertical="center" wrapText="1"/>
    </xf>
    <xf numFmtId="10" fontId="9" fillId="7" borderId="9" xfId="0" applyNumberFormat="1" applyFont="1" applyFill="1" applyBorder="1" applyAlignment="1">
      <alignment horizontal="center" vertical="center" wrapText="1"/>
    </xf>
    <xf numFmtId="10" fontId="9" fillId="3" borderId="9" xfId="0" applyNumberFormat="1" applyFont="1" applyFill="1" applyBorder="1" applyAlignment="1">
      <alignment horizontal="center" vertical="center" wrapText="1"/>
    </xf>
    <xf numFmtId="164" fontId="9" fillId="7" borderId="11" xfId="0" applyNumberFormat="1" applyFont="1" applyFill="1" applyBorder="1" applyAlignment="1">
      <alignment horizontal="center" vertical="center" wrapText="1"/>
    </xf>
    <xf numFmtId="164" fontId="9" fillId="0" borderId="1" xfId="0" applyNumberFormat="1" applyFont="1" applyBorder="1" applyAlignment="1">
      <alignment horizontal="center" vertical="center" wrapText="1"/>
    </xf>
    <xf numFmtId="164" fontId="9" fillId="0" borderId="9" xfId="0" applyNumberFormat="1" applyFont="1" applyBorder="1" applyAlignment="1">
      <alignment horizontal="center" vertical="center" wrapText="1"/>
    </xf>
    <xf numFmtId="164" fontId="9" fillId="9" borderId="12" xfId="0" applyNumberFormat="1" applyFont="1" applyFill="1" applyBorder="1" applyAlignment="1">
      <alignment horizontal="center" vertical="center" wrapText="1"/>
    </xf>
    <xf numFmtId="0" fontId="10" fillId="10" borderId="1" xfId="0" applyFont="1" applyFill="1" applyBorder="1" applyAlignment="1">
      <alignment horizontal="center" vertical="center" wrapText="1"/>
    </xf>
    <xf numFmtId="0" fontId="9" fillId="3" borderId="1" xfId="0" applyFont="1" applyFill="1" applyBorder="1" applyAlignment="1">
      <alignment vertical="center" wrapText="1"/>
    </xf>
    <xf numFmtId="164" fontId="10" fillId="9" borderId="1" xfId="0" applyNumberFormat="1" applyFont="1" applyFill="1" applyBorder="1" applyAlignment="1">
      <alignment horizontal="center" vertical="center" wrapText="1"/>
    </xf>
    <xf numFmtId="0" fontId="9" fillId="7" borderId="1" xfId="0" applyFont="1" applyFill="1" applyBorder="1" applyAlignment="1">
      <alignment horizontal="right" vertical="center" wrapText="1"/>
    </xf>
    <xf numFmtId="0" fontId="9" fillId="12" borderId="1" xfId="0" applyFont="1" applyFill="1" applyBorder="1" applyAlignment="1">
      <alignment horizontal="center" vertical="center" wrapText="1"/>
    </xf>
    <xf numFmtId="0" fontId="10" fillId="10" borderId="8" xfId="0" applyFont="1" applyFill="1" applyBorder="1" applyAlignment="1">
      <alignment horizontal="center" vertical="center" wrapText="1"/>
    </xf>
    <xf numFmtId="0" fontId="9" fillId="3" borderId="9" xfId="0" applyFont="1" applyFill="1" applyBorder="1" applyAlignment="1">
      <alignment vertical="center" wrapText="1"/>
    </xf>
    <xf numFmtId="0" fontId="9" fillId="3" borderId="8" xfId="0" applyFont="1" applyFill="1" applyBorder="1" applyAlignment="1">
      <alignment horizontal="center" vertical="center" wrapText="1"/>
    </xf>
    <xf numFmtId="164" fontId="9" fillId="7" borderId="12" xfId="0" applyNumberFormat="1" applyFont="1" applyFill="1" applyBorder="1" applyAlignment="1">
      <alignment horizontal="center" vertical="center" wrapText="1"/>
    </xf>
    <xf numFmtId="0" fontId="7" fillId="0" borderId="5"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1" fillId="0" borderId="8" xfId="0" applyFont="1" applyBorder="1" applyAlignment="1">
      <alignment horizontal="left" vertical="center" wrapText="1" readingOrder="1"/>
    </xf>
    <xf numFmtId="0" fontId="0" fillId="0" borderId="1" xfId="0" applyBorder="1"/>
    <xf numFmtId="0" fontId="0" fillId="0" borderId="9" xfId="0" applyBorder="1"/>
    <xf numFmtId="0" fontId="14" fillId="0" borderId="8" xfId="0" applyFont="1" applyBorder="1" applyAlignment="1">
      <alignment horizontal="left" vertical="center" wrapText="1" readingOrder="1"/>
    </xf>
    <xf numFmtId="0" fontId="11" fillId="0" borderId="10" xfId="0" applyFont="1" applyBorder="1" applyAlignment="1">
      <alignment horizontal="left" vertical="center" wrapText="1" readingOrder="1"/>
    </xf>
    <xf numFmtId="0" fontId="0" fillId="0" borderId="11" xfId="0" applyBorder="1"/>
    <xf numFmtId="0" fontId="0" fillId="0" borderId="12" xfId="0" applyBorder="1"/>
    <xf numFmtId="0" fontId="7" fillId="0" borderId="1" xfId="0" applyFont="1" applyBorder="1" applyAlignment="1">
      <alignment horizontal="left" vertical="center" wrapText="1"/>
    </xf>
    <xf numFmtId="0" fontId="5" fillId="0" borderId="1" xfId="0" applyFont="1" applyBorder="1" applyAlignment="1">
      <alignment horizontal="left" vertical="center" wrapText="1"/>
    </xf>
    <xf numFmtId="0" fontId="7" fillId="0" borderId="6" xfId="0" applyFont="1" applyBorder="1" applyAlignment="1">
      <alignment horizontal="left" vertical="center" wrapText="1"/>
    </xf>
    <xf numFmtId="0" fontId="5" fillId="0" borderId="6" xfId="0" applyFont="1" applyBorder="1" applyAlignment="1">
      <alignment horizontal="left" vertical="center" wrapText="1"/>
    </xf>
    <xf numFmtId="0" fontId="5" fillId="0" borderId="1" xfId="0" applyFont="1" applyBorder="1" applyAlignment="1">
      <alignment horizontal="center" vertical="center" wrapText="1"/>
    </xf>
    <xf numFmtId="0" fontId="5" fillId="0" borderId="9" xfId="0" applyFont="1" applyBorder="1" applyAlignment="1">
      <alignment horizontal="center" vertical="center" wrapText="1"/>
    </xf>
    <xf numFmtId="10" fontId="7" fillId="6" borderId="1" xfId="0" applyNumberFormat="1" applyFont="1" applyFill="1" applyBorder="1" applyAlignment="1">
      <alignment horizontal="center" vertical="center" wrapText="1"/>
    </xf>
    <xf numFmtId="164" fontId="7" fillId="6" borderId="1" xfId="0" applyNumberFormat="1" applyFont="1" applyFill="1" applyBorder="1" applyAlignment="1">
      <alignment horizontal="center" vertical="center" wrapText="1"/>
    </xf>
    <xf numFmtId="164" fontId="7" fillId="7" borderId="1" xfId="0"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164" fontId="7" fillId="12" borderId="1" xfId="0" applyNumberFormat="1" applyFont="1" applyFill="1" applyBorder="1" applyAlignment="1">
      <alignment horizontal="center" vertical="center" wrapText="1"/>
    </xf>
    <xf numFmtId="0" fontId="0" fillId="12" borderId="1" xfId="0" applyFill="1" applyBorder="1" applyAlignment="1">
      <alignment horizontal="center" vertical="center" wrapText="1"/>
    </xf>
    <xf numFmtId="164" fontId="7" fillId="9"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1" fillId="13" borderId="1"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0" fillId="7" borderId="6" xfId="0" applyFill="1" applyBorder="1" applyAlignment="1">
      <alignment horizontal="center" vertical="center" wrapText="1"/>
    </xf>
    <xf numFmtId="0" fontId="0" fillId="7" borderId="7" xfId="0" applyFill="1" applyBorder="1" applyAlignment="1">
      <alignment horizontal="center" vertical="center" wrapText="1"/>
    </xf>
    <xf numFmtId="0" fontId="9" fillId="8" borderId="8" xfId="0" applyFont="1" applyFill="1" applyBorder="1" applyAlignment="1">
      <alignment horizontal="center" vertical="center" wrapText="1"/>
    </xf>
    <xf numFmtId="0" fontId="0" fillId="8" borderId="1" xfId="0" applyFill="1" applyBorder="1" applyAlignment="1">
      <alignment horizontal="center" vertical="center" wrapText="1"/>
    </xf>
    <xf numFmtId="0" fontId="0" fillId="8" borderId="1" xfId="0" applyFill="1" applyBorder="1" applyAlignment="1">
      <alignment vertical="center" wrapText="1"/>
    </xf>
    <xf numFmtId="0" fontId="0" fillId="8" borderId="9" xfId="0" applyFill="1" applyBorder="1" applyAlignment="1">
      <alignment vertical="center" wrapText="1"/>
    </xf>
    <xf numFmtId="164" fontId="6" fillId="0" borderId="1" xfId="0" applyNumberFormat="1" applyFont="1" applyBorder="1" applyAlignment="1">
      <alignment horizontal="center" vertical="center" wrapText="1"/>
    </xf>
    <xf numFmtId="0" fontId="3" fillId="2" borderId="1" xfId="0" applyFont="1" applyFill="1" applyBorder="1" applyAlignment="1">
      <alignment horizontal="center" vertical="center"/>
    </xf>
    <xf numFmtId="164" fontId="1" fillId="0" borderId="1" xfId="0" applyNumberFormat="1" applyFont="1" applyBorder="1" applyAlignment="1">
      <alignment horizontal="center" vertical="center" wrapText="1"/>
    </xf>
  </cellXfs>
  <cellStyles count="2">
    <cellStyle name="Normal" xfId="0" builtinId="0"/>
    <cellStyle name="Normal 2" xfId="1" xr:uid="{D0F0D57E-26ED-44C6-B7AF-A5927CD6504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B7A1A-A6FB-4E60-B814-5FA9CAF619E9}">
  <sheetPr>
    <pageSetUpPr fitToPage="1"/>
  </sheetPr>
  <dimension ref="A1:C10"/>
  <sheetViews>
    <sheetView tabSelected="1" zoomScale="96" zoomScaleNormal="96" workbookViewId="0">
      <selection activeCell="B4" sqref="B4:C4"/>
    </sheetView>
  </sheetViews>
  <sheetFormatPr defaultColWidth="33.85546875" defaultRowHeight="15" x14ac:dyDescent="0.25"/>
  <sheetData>
    <row r="1" spans="1:3" ht="27" customHeight="1" x14ac:dyDescent="0.25">
      <c r="A1" s="140" t="s">
        <v>0</v>
      </c>
      <c r="B1" s="141"/>
      <c r="C1" s="142"/>
    </row>
    <row r="2" spans="1:3" ht="16.5" thickBot="1" x14ac:dyDescent="0.3">
      <c r="A2" s="87" t="s">
        <v>1</v>
      </c>
      <c r="B2" s="116"/>
      <c r="C2" s="117"/>
    </row>
    <row r="3" spans="1:3" ht="15.75" x14ac:dyDescent="0.25">
      <c r="A3" s="113" t="s">
        <v>2</v>
      </c>
      <c r="B3" s="114" t="s">
        <v>3</v>
      </c>
      <c r="C3" s="115" t="s">
        <v>4</v>
      </c>
    </row>
    <row r="4" spans="1:3" ht="15.75" x14ac:dyDescent="0.25">
      <c r="A4" s="85" t="s">
        <v>5</v>
      </c>
      <c r="B4" s="86"/>
      <c r="C4" s="88"/>
    </row>
    <row r="5" spans="1:3" ht="15.75" x14ac:dyDescent="0.25">
      <c r="A5" s="85" t="s">
        <v>6</v>
      </c>
      <c r="B5" s="86" t="s">
        <v>7</v>
      </c>
      <c r="C5" s="88" t="s">
        <v>158</v>
      </c>
    </row>
    <row r="6" spans="1:3" ht="15.75" x14ac:dyDescent="0.25">
      <c r="A6" s="85" t="s">
        <v>8</v>
      </c>
      <c r="B6" s="86" t="s">
        <v>9</v>
      </c>
      <c r="C6" s="88" t="s">
        <v>10</v>
      </c>
    </row>
    <row r="7" spans="1:3" x14ac:dyDescent="0.25">
      <c r="A7" s="112"/>
      <c r="B7" s="8"/>
      <c r="C7" s="111"/>
    </row>
    <row r="8" spans="1:3" ht="79.7" customHeight="1" x14ac:dyDescent="0.25">
      <c r="A8" s="143" t="s">
        <v>11</v>
      </c>
      <c r="B8" s="144"/>
      <c r="C8" s="145"/>
    </row>
    <row r="9" spans="1:3" ht="114" customHeight="1" x14ac:dyDescent="0.25">
      <c r="A9" s="146" t="s">
        <v>12</v>
      </c>
      <c r="B9" s="144"/>
      <c r="C9" s="145"/>
    </row>
    <row r="10" spans="1:3" ht="113.65" customHeight="1" thickBot="1" x14ac:dyDescent="0.3">
      <c r="A10" s="147" t="s">
        <v>13</v>
      </c>
      <c r="B10" s="148"/>
      <c r="C10" s="149"/>
    </row>
  </sheetData>
  <mergeCells count="4">
    <mergeCell ref="A1:C1"/>
    <mergeCell ref="A8:C8"/>
    <mergeCell ref="A9:C9"/>
    <mergeCell ref="A10:C10"/>
  </mergeCells>
  <pageMargins left="0.7" right="0.7" top="0.75" bottom="0.75" header="0.3" footer="0.3"/>
  <pageSetup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02937-237B-4111-961B-1952C0FF8D70}">
  <sheetPr>
    <pageSetUpPr fitToPage="1"/>
  </sheetPr>
  <dimension ref="A1:P64"/>
  <sheetViews>
    <sheetView zoomScale="63" zoomScaleNormal="63" workbookViewId="0">
      <selection activeCell="B1" sqref="B1:C1"/>
    </sheetView>
  </sheetViews>
  <sheetFormatPr defaultColWidth="8.85546875" defaultRowHeight="15.75" x14ac:dyDescent="0.25"/>
  <cols>
    <col min="1" max="1" width="28.42578125" style="29" customWidth="1"/>
    <col min="2" max="2" width="19.42578125" style="36" customWidth="1"/>
    <col min="3" max="3" width="18.7109375" style="36" customWidth="1"/>
    <col min="4" max="4" width="19" style="36" customWidth="1"/>
    <col min="5" max="5" width="2" style="37" customWidth="1"/>
    <col min="6" max="7" width="15.140625" style="36" bestFit="1" customWidth="1"/>
    <col min="8" max="9" width="15.7109375" style="36" bestFit="1" customWidth="1"/>
    <col min="10" max="10" width="18.28515625" style="36" customWidth="1"/>
    <col min="11" max="11" width="2" style="37" customWidth="1"/>
    <col min="12" max="13" width="15.140625" style="54" bestFit="1" customWidth="1"/>
    <col min="14" max="15" width="15.7109375" style="54" bestFit="1" customWidth="1"/>
    <col min="16" max="16" width="18.28515625" style="54" customWidth="1"/>
    <col min="17" max="16384" width="8.85546875" style="29"/>
  </cols>
  <sheetData>
    <row r="1" spans="1:16" x14ac:dyDescent="0.25">
      <c r="A1" s="43" t="s">
        <v>14</v>
      </c>
      <c r="B1" s="152"/>
      <c r="C1" s="153"/>
      <c r="D1" s="56"/>
      <c r="E1" s="46"/>
      <c r="F1" s="45"/>
      <c r="G1" s="45"/>
      <c r="H1" s="45"/>
      <c r="I1" s="45"/>
      <c r="J1" s="45"/>
      <c r="K1" s="46"/>
      <c r="L1" s="48"/>
      <c r="M1" s="48"/>
      <c r="N1" s="48"/>
      <c r="O1" s="48"/>
      <c r="P1" s="49"/>
    </row>
    <row r="2" spans="1:16" x14ac:dyDescent="0.25">
      <c r="A2" s="39" t="s">
        <v>15</v>
      </c>
      <c r="B2" s="150" t="s">
        <v>16</v>
      </c>
      <c r="C2" s="151"/>
      <c r="D2" s="57"/>
      <c r="E2" s="44"/>
      <c r="F2" s="42"/>
      <c r="G2" s="42"/>
      <c r="H2" s="42"/>
      <c r="I2" s="42"/>
      <c r="J2" s="42"/>
      <c r="K2" s="44"/>
      <c r="L2" s="50"/>
      <c r="M2" s="50"/>
      <c r="N2" s="50"/>
      <c r="O2" s="50"/>
      <c r="P2" s="51"/>
    </row>
    <row r="3" spans="1:16" x14ac:dyDescent="0.25">
      <c r="A3" s="76" t="s">
        <v>17</v>
      </c>
      <c r="B3" s="73"/>
      <c r="C3" s="73"/>
      <c r="D3" s="73"/>
      <c r="E3" s="154"/>
      <c r="F3" s="154"/>
      <c r="G3" s="154"/>
      <c r="H3" s="154"/>
      <c r="I3" s="154"/>
      <c r="J3" s="154"/>
      <c r="K3" s="154"/>
      <c r="L3" s="154"/>
      <c r="M3" s="154"/>
      <c r="N3" s="154"/>
      <c r="O3" s="154"/>
      <c r="P3" s="155"/>
    </row>
    <row r="4" spans="1:16" x14ac:dyDescent="0.25">
      <c r="A4" s="30"/>
      <c r="B4" s="31"/>
      <c r="C4" s="31"/>
      <c r="D4" s="65"/>
      <c r="E4" s="74"/>
      <c r="F4" s="157" t="s">
        <v>18</v>
      </c>
      <c r="G4" s="154"/>
      <c r="H4" s="154"/>
      <c r="I4" s="154"/>
      <c r="J4" s="154"/>
      <c r="K4" s="74"/>
      <c r="L4" s="156" t="s">
        <v>19</v>
      </c>
      <c r="M4" s="154"/>
      <c r="N4" s="154"/>
      <c r="O4" s="154"/>
      <c r="P4" s="155"/>
    </row>
    <row r="5" spans="1:16" x14ac:dyDescent="0.25">
      <c r="A5" s="98" t="s">
        <v>20</v>
      </c>
      <c r="B5" s="90" t="s">
        <v>21</v>
      </c>
      <c r="C5" s="90" t="s">
        <v>22</v>
      </c>
      <c r="D5" s="75" t="s">
        <v>23</v>
      </c>
      <c r="E5" s="32"/>
      <c r="F5" s="33" t="s">
        <v>24</v>
      </c>
      <c r="G5" s="33" t="s">
        <v>25</v>
      </c>
      <c r="H5" s="33" t="s">
        <v>26</v>
      </c>
      <c r="I5" s="33" t="s">
        <v>27</v>
      </c>
      <c r="J5" s="33" t="s">
        <v>28</v>
      </c>
      <c r="K5" s="32"/>
      <c r="L5" s="53" t="s">
        <v>24</v>
      </c>
      <c r="M5" s="53" t="s">
        <v>25</v>
      </c>
      <c r="N5" s="53" t="s">
        <v>26</v>
      </c>
      <c r="O5" s="53" t="s">
        <v>27</v>
      </c>
      <c r="P5" s="53" t="s">
        <v>28</v>
      </c>
    </row>
    <row r="6" spans="1:16" ht="31.5" x14ac:dyDescent="0.25">
      <c r="A6" s="89" t="s">
        <v>29</v>
      </c>
      <c r="B6" s="40" t="s">
        <v>30</v>
      </c>
      <c r="C6" s="40" t="s">
        <v>31</v>
      </c>
      <c r="D6" s="40">
        <v>719347.77</v>
      </c>
      <c r="E6" s="41"/>
      <c r="F6" s="40">
        <v>356780</v>
      </c>
      <c r="G6" s="40">
        <v>518994</v>
      </c>
      <c r="H6" s="40">
        <v>698953</v>
      </c>
      <c r="I6" s="40">
        <v>939954</v>
      </c>
      <c r="J6" s="40">
        <v>1153409</v>
      </c>
      <c r="K6" s="41"/>
      <c r="L6" s="52">
        <f t="shared" ref="L6:L18" si="0">($D6-F6)/$D6</f>
        <v>0.50402292899302381</v>
      </c>
      <c r="M6" s="52">
        <f t="shared" ref="M6:M18" si="1">($D6-G6)/$D6</f>
        <v>0.27852143060094564</v>
      </c>
      <c r="N6" s="52">
        <f t="shared" ref="N6:N18" si="2">($D6-H6)/$D6</f>
        <v>2.8351752588320414E-2</v>
      </c>
      <c r="O6" s="52">
        <f t="shared" ref="O6:O18" si="3">($D6-I6)/$D6</f>
        <v>-0.30667535120043532</v>
      </c>
      <c r="P6" s="52">
        <f t="shared" ref="P6:P18" si="4">($D6-J6)/$D6</f>
        <v>-0.6034094329645312</v>
      </c>
    </row>
    <row r="7" spans="1:16" ht="31.5" x14ac:dyDescent="0.25">
      <c r="A7" s="89" t="s">
        <v>32</v>
      </c>
      <c r="B7" s="40" t="s">
        <v>30</v>
      </c>
      <c r="C7" s="40" t="s">
        <v>33</v>
      </c>
      <c r="D7" s="40">
        <v>311492.61</v>
      </c>
      <c r="E7" s="41"/>
      <c r="F7" s="40">
        <v>192192</v>
      </c>
      <c r="G7" s="40">
        <v>276466</v>
      </c>
      <c r="H7" s="40">
        <v>370077</v>
      </c>
      <c r="I7" s="40">
        <v>489881</v>
      </c>
      <c r="J7" s="40">
        <v>593185</v>
      </c>
      <c r="K7" s="41"/>
      <c r="L7" s="52">
        <f t="shared" si="0"/>
        <v>0.38299659821785176</v>
      </c>
      <c r="M7" s="52">
        <f t="shared" si="1"/>
        <v>0.112447643621465</v>
      </c>
      <c r="N7" s="52">
        <f t="shared" si="2"/>
        <v>-0.18807633991702088</v>
      </c>
      <c r="O7" s="52">
        <f t="shared" si="3"/>
        <v>-0.57268899573572551</v>
      </c>
      <c r="P7" s="52">
        <f t="shared" si="4"/>
        <v>-0.90433089247285847</v>
      </c>
    </row>
    <row r="8" spans="1:16" ht="31.5" x14ac:dyDescent="0.25">
      <c r="A8" s="89" t="s">
        <v>34</v>
      </c>
      <c r="B8" s="40" t="s">
        <v>30</v>
      </c>
      <c r="C8" s="40" t="s">
        <v>35</v>
      </c>
      <c r="D8" s="40">
        <v>258773.12</v>
      </c>
      <c r="E8" s="41"/>
      <c r="F8" s="40">
        <v>208925</v>
      </c>
      <c r="G8" s="40">
        <v>259142</v>
      </c>
      <c r="H8" s="40">
        <v>315457</v>
      </c>
      <c r="I8" s="40">
        <v>388284</v>
      </c>
      <c r="J8" s="40">
        <v>451878</v>
      </c>
      <c r="K8" s="41"/>
      <c r="L8" s="52">
        <f t="shared" si="0"/>
        <v>0.19263252690233049</v>
      </c>
      <c r="M8" s="52">
        <f t="shared" si="1"/>
        <v>-1.4254958165670557E-3</v>
      </c>
      <c r="N8" s="52">
        <f t="shared" si="2"/>
        <v>-0.21904856269461065</v>
      </c>
      <c r="O8" s="52">
        <f t="shared" si="3"/>
        <v>-0.50048042084123734</v>
      </c>
      <c r="P8" s="52">
        <f t="shared" si="4"/>
        <v>-0.74623237529462105</v>
      </c>
    </row>
    <row r="9" spans="1:16" ht="31.5" x14ac:dyDescent="0.25">
      <c r="A9" s="89" t="s">
        <v>36</v>
      </c>
      <c r="B9" s="40" t="s">
        <v>37</v>
      </c>
      <c r="C9" s="89" t="s">
        <v>32</v>
      </c>
      <c r="D9" s="40">
        <v>247080.17499999999</v>
      </c>
      <c r="E9" s="41"/>
      <c r="F9" s="40">
        <v>233229</v>
      </c>
      <c r="G9" s="40">
        <v>243457</v>
      </c>
      <c r="H9" s="40">
        <v>254949</v>
      </c>
      <c r="I9" s="40">
        <v>269690</v>
      </c>
      <c r="J9" s="40">
        <v>282407</v>
      </c>
      <c r="K9" s="41"/>
      <c r="L9" s="52">
        <f t="shared" si="0"/>
        <v>5.6059434958713253E-2</v>
      </c>
      <c r="M9" s="52">
        <f t="shared" si="1"/>
        <v>1.4663964844609603E-2</v>
      </c>
      <c r="N9" s="52">
        <f t="shared" si="2"/>
        <v>-3.1847253629312879E-2</v>
      </c>
      <c r="O9" s="52">
        <f t="shared" si="3"/>
        <v>-9.1508049967991209E-2</v>
      </c>
      <c r="P9" s="52">
        <f t="shared" si="4"/>
        <v>-0.14297717330012419</v>
      </c>
    </row>
    <row r="10" spans="1:16" ht="47.25" x14ac:dyDescent="0.25">
      <c r="A10" s="89" t="s">
        <v>38</v>
      </c>
      <c r="B10" s="40" t="s">
        <v>30</v>
      </c>
      <c r="C10" s="40" t="s">
        <v>32</v>
      </c>
      <c r="D10" s="40">
        <v>188069.29</v>
      </c>
      <c r="E10" s="41"/>
      <c r="F10" s="40">
        <v>165602</v>
      </c>
      <c r="G10" s="40">
        <v>177511</v>
      </c>
      <c r="H10" s="40">
        <v>190503</v>
      </c>
      <c r="I10" s="40">
        <v>207679</v>
      </c>
      <c r="J10" s="40">
        <v>222669</v>
      </c>
      <c r="K10" s="41"/>
      <c r="L10" s="52">
        <f t="shared" si="0"/>
        <v>0.11946283202323998</v>
      </c>
      <c r="M10" s="52">
        <f t="shared" si="1"/>
        <v>5.6140425690978081E-2</v>
      </c>
      <c r="N10" s="52">
        <f t="shared" si="2"/>
        <v>-1.2940496558475824E-2</v>
      </c>
      <c r="O10" s="52">
        <f t="shared" si="3"/>
        <v>-0.10426853847324032</v>
      </c>
      <c r="P10" s="52">
        <f t="shared" si="4"/>
        <v>-0.18397320476936979</v>
      </c>
    </row>
    <row r="11" spans="1:16" ht="31.5" x14ac:dyDescent="0.25">
      <c r="A11" s="89" t="s">
        <v>39</v>
      </c>
      <c r="B11" s="40" t="s">
        <v>30</v>
      </c>
      <c r="C11" s="40" t="s">
        <v>32</v>
      </c>
      <c r="D11" s="40">
        <v>182228</v>
      </c>
      <c r="E11" s="41"/>
      <c r="F11" s="40">
        <v>160050</v>
      </c>
      <c r="G11" s="40">
        <v>172281</v>
      </c>
      <c r="H11" s="40">
        <v>185593</v>
      </c>
      <c r="I11" s="40">
        <v>193350</v>
      </c>
      <c r="J11" s="40">
        <v>208831</v>
      </c>
      <c r="K11" s="41"/>
      <c r="L11" s="52">
        <f t="shared" si="0"/>
        <v>0.12170467765656211</v>
      </c>
      <c r="M11" s="52">
        <f t="shared" si="1"/>
        <v>5.4585464363325065E-2</v>
      </c>
      <c r="N11" s="52">
        <f t="shared" si="2"/>
        <v>-1.8465877911188183E-2</v>
      </c>
      <c r="O11" s="52">
        <f t="shared" si="3"/>
        <v>-6.103343064732094E-2</v>
      </c>
      <c r="P11" s="52">
        <f t="shared" si="4"/>
        <v>-0.14598744430054658</v>
      </c>
    </row>
    <row r="12" spans="1:16" ht="31.5" x14ac:dyDescent="0.25">
      <c r="A12" s="89" t="s">
        <v>40</v>
      </c>
      <c r="B12" s="40" t="s">
        <v>30</v>
      </c>
      <c r="C12" s="40" t="s">
        <v>33</v>
      </c>
      <c r="D12" s="40">
        <v>147512.4</v>
      </c>
      <c r="E12" s="41"/>
      <c r="F12" s="40">
        <v>134134</v>
      </c>
      <c r="G12" s="40">
        <v>146032</v>
      </c>
      <c r="H12" s="40">
        <v>159317</v>
      </c>
      <c r="I12" s="40">
        <v>176283</v>
      </c>
      <c r="J12" s="40">
        <v>191214</v>
      </c>
      <c r="K12" s="41"/>
      <c r="L12" s="52">
        <f t="shared" si="0"/>
        <v>9.0693392555473262E-2</v>
      </c>
      <c r="M12" s="52">
        <f t="shared" si="1"/>
        <v>1.0035766484715823E-2</v>
      </c>
      <c r="N12" s="52">
        <f t="shared" si="2"/>
        <v>-8.0024458960738259E-2</v>
      </c>
      <c r="O12" s="52">
        <f t="shared" si="3"/>
        <v>-0.19503851879570808</v>
      </c>
      <c r="P12" s="52">
        <f t="shared" si="4"/>
        <v>-0.29625712821430611</v>
      </c>
    </row>
    <row r="13" spans="1:16" ht="47.25" x14ac:dyDescent="0.25">
      <c r="A13" s="89" t="s">
        <v>41</v>
      </c>
      <c r="B13" s="40" t="s">
        <v>37</v>
      </c>
      <c r="C13" s="89" t="s">
        <v>36</v>
      </c>
      <c r="D13" s="40">
        <v>125000</v>
      </c>
      <c r="E13" s="41"/>
      <c r="F13" s="40">
        <v>105922</v>
      </c>
      <c r="G13" s="40">
        <v>116195</v>
      </c>
      <c r="H13" s="40">
        <v>127726</v>
      </c>
      <c r="I13" s="40">
        <v>142509</v>
      </c>
      <c r="J13" s="40">
        <v>155417</v>
      </c>
      <c r="K13" s="41"/>
      <c r="L13" s="52">
        <f t="shared" si="0"/>
        <v>0.15262400000000001</v>
      </c>
      <c r="M13" s="52">
        <f t="shared" si="1"/>
        <v>7.0440000000000003E-2</v>
      </c>
      <c r="N13" s="52">
        <f t="shared" si="2"/>
        <v>-2.1808000000000001E-2</v>
      </c>
      <c r="O13" s="52">
        <f t="shared" si="3"/>
        <v>-0.140072</v>
      </c>
      <c r="P13" s="52">
        <f t="shared" si="4"/>
        <v>-0.243336</v>
      </c>
    </row>
    <row r="14" spans="1:16" ht="63" x14ac:dyDescent="0.25">
      <c r="A14" s="89" t="s">
        <v>42</v>
      </c>
      <c r="B14" s="40" t="s">
        <v>43</v>
      </c>
      <c r="C14" s="89" t="s">
        <v>34</v>
      </c>
      <c r="D14" s="40">
        <v>112119.93</v>
      </c>
      <c r="E14" s="41"/>
      <c r="F14" s="40">
        <v>109783</v>
      </c>
      <c r="G14" s="40">
        <v>118221</v>
      </c>
      <c r="H14" s="40">
        <v>127689</v>
      </c>
      <c r="I14" s="40">
        <v>139802</v>
      </c>
      <c r="J14" s="40">
        <v>150372</v>
      </c>
      <c r="K14" s="41"/>
      <c r="L14" s="52">
        <f t="shared" si="0"/>
        <v>2.0843127533169109E-2</v>
      </c>
      <c r="M14" s="52">
        <f t="shared" si="1"/>
        <v>-5.441557089805539E-2</v>
      </c>
      <c r="N14" s="52">
        <f t="shared" si="2"/>
        <v>-0.13886086086568203</v>
      </c>
      <c r="O14" s="52">
        <f t="shared" si="3"/>
        <v>-0.24689696113795298</v>
      </c>
      <c r="P14" s="52">
        <f t="shared" si="4"/>
        <v>-0.341171012147439</v>
      </c>
    </row>
    <row r="15" spans="1:16" ht="31.5" x14ac:dyDescent="0.25">
      <c r="A15" s="89" t="s">
        <v>44</v>
      </c>
      <c r="B15" s="40" t="s">
        <v>30</v>
      </c>
      <c r="C15" s="40" t="s">
        <v>32</v>
      </c>
      <c r="D15" s="40">
        <v>113770.8</v>
      </c>
      <c r="E15" s="41"/>
      <c r="F15" s="40">
        <v>101668</v>
      </c>
      <c r="G15" s="40">
        <v>110227</v>
      </c>
      <c r="H15" s="40">
        <v>119885</v>
      </c>
      <c r="I15" s="40">
        <v>132265</v>
      </c>
      <c r="J15" s="40">
        <v>143127</v>
      </c>
      <c r="K15" s="41"/>
      <c r="L15" s="52">
        <f t="shared" si="0"/>
        <v>0.10637878963670822</v>
      </c>
      <c r="M15" s="52">
        <f t="shared" si="1"/>
        <v>3.114858997211941E-2</v>
      </c>
      <c r="N15" s="52">
        <f t="shared" si="2"/>
        <v>-5.3741381795680408E-2</v>
      </c>
      <c r="O15" s="52">
        <f t="shared" si="3"/>
        <v>-0.16255664898198832</v>
      </c>
      <c r="P15" s="52">
        <f t="shared" si="4"/>
        <v>-0.2580293010157263</v>
      </c>
    </row>
    <row r="16" spans="1:16" ht="31.5" x14ac:dyDescent="0.25">
      <c r="A16" s="100" t="s">
        <v>45</v>
      </c>
      <c r="B16" s="40" t="s">
        <v>30</v>
      </c>
      <c r="C16" s="40" t="s">
        <v>32</v>
      </c>
      <c r="D16" s="40">
        <v>97384</v>
      </c>
      <c r="E16" s="41"/>
      <c r="F16" s="40">
        <v>89921</v>
      </c>
      <c r="G16" s="40">
        <v>97074</v>
      </c>
      <c r="H16" s="40">
        <v>105136</v>
      </c>
      <c r="I16" s="40">
        <v>115358</v>
      </c>
      <c r="J16" s="40">
        <v>124327</v>
      </c>
      <c r="K16" s="41"/>
      <c r="L16" s="52">
        <f t="shared" si="0"/>
        <v>7.6634765464552695E-2</v>
      </c>
      <c r="M16" s="52">
        <f t="shared" si="1"/>
        <v>3.1832744598702047E-3</v>
      </c>
      <c r="N16" s="52">
        <f t="shared" si="2"/>
        <v>-7.9602398751334916E-2</v>
      </c>
      <c r="O16" s="52">
        <f t="shared" si="3"/>
        <v>-0.18456830690873244</v>
      </c>
      <c r="P16" s="52">
        <f t="shared" si="4"/>
        <v>-0.27666762507188042</v>
      </c>
    </row>
    <row r="17" spans="1:16" ht="63" x14ac:dyDescent="0.25">
      <c r="A17" s="89" t="s">
        <v>46</v>
      </c>
      <c r="B17" s="40" t="s">
        <v>43</v>
      </c>
      <c r="C17" s="89" t="s">
        <v>34</v>
      </c>
      <c r="D17" s="40">
        <v>83071.324999999997</v>
      </c>
      <c r="E17" s="41"/>
      <c r="F17" s="40">
        <v>75114</v>
      </c>
      <c r="G17" s="40">
        <v>81275</v>
      </c>
      <c r="H17" s="40">
        <v>88276</v>
      </c>
      <c r="I17" s="40">
        <v>97109</v>
      </c>
      <c r="J17" s="40">
        <v>104893</v>
      </c>
      <c r="K17" s="41"/>
      <c r="L17" s="52">
        <f t="shared" si="0"/>
        <v>9.5789070416295849E-2</v>
      </c>
      <c r="M17" s="52">
        <f t="shared" si="1"/>
        <v>2.1623887665208147E-2</v>
      </c>
      <c r="N17" s="52">
        <f t="shared" si="2"/>
        <v>-6.265308757263717E-2</v>
      </c>
      <c r="O17" s="52">
        <f t="shared" si="3"/>
        <v>-0.1689834007101729</v>
      </c>
      <c r="P17" s="52">
        <f t="shared" si="4"/>
        <v>-0.26268601108746015</v>
      </c>
    </row>
    <row r="18" spans="1:16" ht="47.25" x14ac:dyDescent="0.25">
      <c r="A18" s="89" t="s">
        <v>47</v>
      </c>
      <c r="B18" s="40" t="s">
        <v>30</v>
      </c>
      <c r="C18" s="40" t="s">
        <v>33</v>
      </c>
      <c r="D18" s="40">
        <v>50750</v>
      </c>
      <c r="E18" s="41"/>
      <c r="F18" s="40">
        <v>42599.305555555555</v>
      </c>
      <c r="G18" s="40">
        <v>47295.138888888891</v>
      </c>
      <c r="H18" s="40">
        <v>52652.777777777781</v>
      </c>
      <c r="I18" s="40">
        <v>59443.75</v>
      </c>
      <c r="J18" s="40">
        <v>65434.722222222226</v>
      </c>
      <c r="K18" s="41"/>
      <c r="L18" s="52">
        <f t="shared" si="0"/>
        <v>0.1606048166392994</v>
      </c>
      <c r="M18" s="52">
        <f t="shared" si="1"/>
        <v>6.8076081007115458E-2</v>
      </c>
      <c r="N18" s="52">
        <f t="shared" si="2"/>
        <v>-3.7493158182813416E-2</v>
      </c>
      <c r="O18" s="52">
        <f t="shared" si="3"/>
        <v>-0.17130541871921182</v>
      </c>
      <c r="P18" s="52">
        <f t="shared" si="4"/>
        <v>-0.28935413245758079</v>
      </c>
    </row>
    <row r="19" spans="1:16" x14ac:dyDescent="0.25">
      <c r="A19" s="89"/>
      <c r="B19" s="40"/>
      <c r="C19" s="40"/>
      <c r="D19" s="40"/>
      <c r="E19" s="41"/>
      <c r="F19" s="40"/>
      <c r="G19" s="40"/>
      <c r="H19" s="40"/>
      <c r="I19" s="40"/>
      <c r="J19" s="40"/>
      <c r="K19" s="41"/>
      <c r="L19" s="58">
        <f>AVERAGE(L6:L18)</f>
        <v>0.16003438161517075</v>
      </c>
      <c r="M19" s="58">
        <f t="shared" ref="M19:P19" si="5">AVERAGE(M6:M18)</f>
        <v>5.1155804768902316E-2</v>
      </c>
      <c r="N19" s="58">
        <f t="shared" si="5"/>
        <v>-7.0477701865474959E-2</v>
      </c>
      <c r="O19" s="58">
        <f t="shared" si="5"/>
        <v>-0.22354431093228594</v>
      </c>
      <c r="P19" s="58">
        <f t="shared" si="5"/>
        <v>-0.36110859485357266</v>
      </c>
    </row>
    <row r="20" spans="1:16" x14ac:dyDescent="0.25">
      <c r="A20" s="101"/>
      <c r="B20" s="31"/>
      <c r="C20" s="31"/>
      <c r="D20" s="31"/>
      <c r="E20" s="34"/>
      <c r="F20" s="157" t="s">
        <v>48</v>
      </c>
      <c r="G20" s="154"/>
      <c r="H20" s="154"/>
      <c r="I20" s="154"/>
      <c r="J20" s="154"/>
      <c r="K20" s="59"/>
      <c r="L20" s="157" t="s">
        <v>49</v>
      </c>
      <c r="M20" s="154"/>
      <c r="N20" s="154"/>
      <c r="O20" s="154"/>
      <c r="P20" s="154"/>
    </row>
    <row r="21" spans="1:16" ht="31.5" x14ac:dyDescent="0.25">
      <c r="A21" s="99" t="s">
        <v>20</v>
      </c>
      <c r="B21" s="35" t="s">
        <v>21</v>
      </c>
      <c r="C21" s="35" t="s">
        <v>22</v>
      </c>
      <c r="D21" s="35" t="s">
        <v>50</v>
      </c>
      <c r="E21" s="32"/>
      <c r="F21" s="33" t="s">
        <v>24</v>
      </c>
      <c r="G21" s="33" t="s">
        <v>25</v>
      </c>
      <c r="H21" s="33" t="s">
        <v>26</v>
      </c>
      <c r="I21" s="33" t="s">
        <v>27</v>
      </c>
      <c r="J21" s="33" t="s">
        <v>28</v>
      </c>
      <c r="K21" s="59"/>
      <c r="L21" s="33" t="s">
        <v>24</v>
      </c>
      <c r="M21" s="33" t="s">
        <v>25</v>
      </c>
      <c r="N21" s="33" t="s">
        <v>26</v>
      </c>
      <c r="O21" s="33" t="s">
        <v>27</v>
      </c>
      <c r="P21" s="33" t="s">
        <v>28</v>
      </c>
    </row>
    <row r="22" spans="1:16" ht="31.5" x14ac:dyDescent="0.25">
      <c r="A22" s="89" t="s">
        <v>29</v>
      </c>
      <c r="B22" s="40" t="s">
        <v>30</v>
      </c>
      <c r="C22" s="40" t="s">
        <v>31</v>
      </c>
      <c r="D22" s="40">
        <f t="shared" ref="D22:D34" si="6">(D38-D6)</f>
        <v>0</v>
      </c>
      <c r="E22" s="41"/>
      <c r="F22" s="40">
        <f t="shared" ref="F22:J22" si="7">(F38-F6)</f>
        <v>35601</v>
      </c>
      <c r="G22" s="40">
        <f t="shared" si="7"/>
        <v>51299</v>
      </c>
      <c r="H22" s="40">
        <f t="shared" si="7"/>
        <v>72011</v>
      </c>
      <c r="I22" s="40">
        <f t="shared" si="7"/>
        <v>98323</v>
      </c>
      <c r="J22" s="40">
        <f t="shared" si="7"/>
        <v>120921</v>
      </c>
      <c r="K22" s="59"/>
      <c r="L22" s="52">
        <f>(F22/F6)</f>
        <v>9.9784180727619257E-2</v>
      </c>
      <c r="M22" s="52">
        <f t="shared" ref="M22:P22" si="8">(G22/G6)</f>
        <v>9.8843146548900376E-2</v>
      </c>
      <c r="N22" s="52">
        <f t="shared" si="8"/>
        <v>0.10302695603280908</v>
      </c>
      <c r="O22" s="52">
        <f t="shared" si="8"/>
        <v>0.1046040550920577</v>
      </c>
      <c r="P22" s="52">
        <f t="shared" si="8"/>
        <v>0.10483791959313651</v>
      </c>
    </row>
    <row r="23" spans="1:16" ht="31.5" x14ac:dyDescent="0.25">
      <c r="A23" s="89" t="s">
        <v>32</v>
      </c>
      <c r="B23" s="40" t="s">
        <v>30</v>
      </c>
      <c r="C23" s="40" t="s">
        <v>33</v>
      </c>
      <c r="D23" s="40">
        <f t="shared" si="6"/>
        <v>21804.482699999993</v>
      </c>
      <c r="E23" s="41"/>
      <c r="F23" s="40">
        <f t="shared" ref="F23:J23" si="9">(F39-F7)</f>
        <v>73376</v>
      </c>
      <c r="G23" s="40">
        <f t="shared" si="9"/>
        <v>105586</v>
      </c>
      <c r="H23" s="40">
        <f t="shared" si="9"/>
        <v>140788</v>
      </c>
      <c r="I23" s="40">
        <f t="shared" si="9"/>
        <v>185791</v>
      </c>
      <c r="J23" s="40">
        <f t="shared" si="9"/>
        <v>231112</v>
      </c>
      <c r="K23" s="59"/>
      <c r="L23" s="52">
        <f t="shared" ref="L23:L34" si="10">(F23/F7)</f>
        <v>0.38178488178488179</v>
      </c>
      <c r="M23" s="52">
        <f t="shared" ref="M23:M34" si="11">(G23/G7)</f>
        <v>0.38191314664371023</v>
      </c>
      <c r="N23" s="52">
        <f t="shared" ref="N23:N34" si="12">(H23/H7)</f>
        <v>0.38042893776160097</v>
      </c>
      <c r="O23" s="52">
        <f t="shared" ref="O23:O34" si="13">(I23/I7)</f>
        <v>0.37925741149381176</v>
      </c>
      <c r="P23" s="52">
        <f t="shared" ref="P23:P34" si="14">(J23/J7)</f>
        <v>0.38961200974400906</v>
      </c>
    </row>
    <row r="24" spans="1:16" ht="31.5" x14ac:dyDescent="0.25">
      <c r="A24" s="89" t="s">
        <v>34</v>
      </c>
      <c r="B24" s="40" t="s">
        <v>30</v>
      </c>
      <c r="C24" s="40" t="s">
        <v>35</v>
      </c>
      <c r="D24" s="40">
        <f t="shared" si="6"/>
        <v>18114.118399999978</v>
      </c>
      <c r="E24" s="41"/>
      <c r="F24" s="40">
        <f t="shared" ref="F24:J24" si="15">(F40-F8)</f>
        <v>65447</v>
      </c>
      <c r="G24" s="40">
        <f t="shared" si="15"/>
        <v>81221</v>
      </c>
      <c r="H24" s="40">
        <f t="shared" si="15"/>
        <v>98829</v>
      </c>
      <c r="I24" s="40">
        <f t="shared" si="15"/>
        <v>121548</v>
      </c>
      <c r="J24" s="40">
        <f t="shared" si="15"/>
        <v>141293</v>
      </c>
      <c r="K24" s="59"/>
      <c r="L24" s="52">
        <f t="shared" si="10"/>
        <v>0.31325595309321524</v>
      </c>
      <c r="M24" s="52">
        <f t="shared" si="11"/>
        <v>0.31342275663535824</v>
      </c>
      <c r="N24" s="52">
        <f t="shared" si="12"/>
        <v>0.31328834040772591</v>
      </c>
      <c r="O24" s="52">
        <f t="shared" si="13"/>
        <v>0.31303890966406034</v>
      </c>
      <c r="P24" s="52">
        <f t="shared" si="14"/>
        <v>0.31267952854531533</v>
      </c>
    </row>
    <row r="25" spans="1:16" ht="31.5" x14ac:dyDescent="0.25">
      <c r="A25" s="89" t="s">
        <v>36</v>
      </c>
      <c r="B25" s="40" t="s">
        <v>150</v>
      </c>
      <c r="C25" s="89" t="s">
        <v>32</v>
      </c>
      <c r="D25" s="40">
        <f t="shared" si="6"/>
        <v>17295.612250000006</v>
      </c>
      <c r="E25" s="41"/>
      <c r="F25" s="40">
        <f t="shared" ref="F25:J25" si="16">(F41-F9)</f>
        <v>32021</v>
      </c>
      <c r="G25" s="40">
        <f t="shared" si="16"/>
        <v>31955</v>
      </c>
      <c r="H25" s="40">
        <f t="shared" si="16"/>
        <v>32122</v>
      </c>
      <c r="I25" s="40">
        <f t="shared" si="16"/>
        <v>22339</v>
      </c>
      <c r="J25" s="40">
        <f t="shared" si="16"/>
        <v>20086</v>
      </c>
      <c r="K25" s="59"/>
      <c r="L25" s="52">
        <f t="shared" si="10"/>
        <v>0.13729424728485737</v>
      </c>
      <c r="M25" s="52">
        <f t="shared" si="11"/>
        <v>0.13125521139256624</v>
      </c>
      <c r="N25" s="52">
        <f t="shared" si="12"/>
        <v>0.12599382621622363</v>
      </c>
      <c r="O25" s="52">
        <f t="shared" si="13"/>
        <v>8.283214060588083E-2</v>
      </c>
      <c r="P25" s="52">
        <f t="shared" si="14"/>
        <v>7.1124299326858043E-2</v>
      </c>
    </row>
    <row r="26" spans="1:16" ht="47.25" x14ac:dyDescent="0.25">
      <c r="A26" s="89" t="s">
        <v>38</v>
      </c>
      <c r="B26" s="40" t="s">
        <v>144</v>
      </c>
      <c r="C26" s="40" t="s">
        <v>32</v>
      </c>
      <c r="D26" s="40">
        <f t="shared" si="6"/>
        <v>13164.850299999991</v>
      </c>
      <c r="E26" s="41"/>
      <c r="F26" s="40">
        <f t="shared" ref="F26:J26" si="17">(F42-F10)</f>
        <v>16910</v>
      </c>
      <c r="G26" s="40">
        <f t="shared" si="17"/>
        <v>17509</v>
      </c>
      <c r="H26" s="40">
        <f t="shared" si="17"/>
        <v>18169</v>
      </c>
      <c r="I26" s="40">
        <f t="shared" si="17"/>
        <v>19030</v>
      </c>
      <c r="J26" s="40">
        <f t="shared" si="17"/>
        <v>9785</v>
      </c>
      <c r="K26" s="59"/>
      <c r="L26" s="52">
        <f t="shared" si="10"/>
        <v>0.1021122933297907</v>
      </c>
      <c r="M26" s="52">
        <f t="shared" si="11"/>
        <v>9.8636140858876356E-2</v>
      </c>
      <c r="N26" s="52">
        <f t="shared" si="12"/>
        <v>9.5373826133971648E-2</v>
      </c>
      <c r="O26" s="52">
        <f t="shared" si="13"/>
        <v>9.1631797148483962E-2</v>
      </c>
      <c r="P26" s="52">
        <f t="shared" si="14"/>
        <v>4.3944150285850296E-2</v>
      </c>
    </row>
    <row r="27" spans="1:16" ht="31.5" x14ac:dyDescent="0.25">
      <c r="A27" s="89" t="s">
        <v>39</v>
      </c>
      <c r="B27" s="40" t="s">
        <v>144</v>
      </c>
      <c r="C27" s="40" t="s">
        <v>32</v>
      </c>
      <c r="D27" s="40">
        <f t="shared" si="6"/>
        <v>12755.424999999988</v>
      </c>
      <c r="E27" s="41"/>
      <c r="F27" s="40">
        <f t="shared" ref="F27:J27" si="18">(F43-F11)</f>
        <v>8994</v>
      </c>
      <c r="G27" s="40">
        <f t="shared" si="18"/>
        <v>9772</v>
      </c>
      <c r="H27" s="40">
        <f t="shared" si="18"/>
        <v>20624</v>
      </c>
      <c r="I27" s="40">
        <f t="shared" si="18"/>
        <v>21745</v>
      </c>
      <c r="J27" s="40">
        <f t="shared" si="18"/>
        <v>22729</v>
      </c>
      <c r="K27" s="59"/>
      <c r="L27" s="52">
        <f t="shared" si="10"/>
        <v>5.6194939081537019E-2</v>
      </c>
      <c r="M27" s="52">
        <f t="shared" si="11"/>
        <v>5.6721286735043328E-2</v>
      </c>
      <c r="N27" s="52">
        <f t="shared" si="12"/>
        <v>0.1111248807875297</v>
      </c>
      <c r="O27" s="52">
        <f t="shared" si="13"/>
        <v>0.11246444272045514</v>
      </c>
      <c r="P27" s="52">
        <f t="shared" si="14"/>
        <v>0.1088392049073174</v>
      </c>
    </row>
    <row r="28" spans="1:16" ht="31.5" x14ac:dyDescent="0.25">
      <c r="A28" s="89" t="s">
        <v>40</v>
      </c>
      <c r="B28" s="40" t="s">
        <v>144</v>
      </c>
      <c r="C28" s="40" t="s">
        <v>32</v>
      </c>
      <c r="D28" s="40">
        <f t="shared" si="6"/>
        <v>10325.867999999988</v>
      </c>
      <c r="E28" s="41"/>
      <c r="F28" s="40">
        <f t="shared" ref="F28:J28" si="19">(F44-F12)</f>
        <v>8234</v>
      </c>
      <c r="G28" s="40">
        <f t="shared" si="19"/>
        <v>8963</v>
      </c>
      <c r="H28" s="40">
        <f t="shared" si="19"/>
        <v>9777</v>
      </c>
      <c r="I28" s="40">
        <f t="shared" si="19"/>
        <v>10817</v>
      </c>
      <c r="J28" s="40">
        <f t="shared" si="19"/>
        <v>11733</v>
      </c>
      <c r="K28" s="59"/>
      <c r="L28" s="52">
        <f t="shared" si="10"/>
        <v>6.1386374819210637E-2</v>
      </c>
      <c r="M28" s="52">
        <f t="shared" si="11"/>
        <v>6.1376958474854824E-2</v>
      </c>
      <c r="N28" s="52">
        <f t="shared" si="12"/>
        <v>6.1368215570215358E-2</v>
      </c>
      <c r="O28" s="52">
        <f t="shared" si="13"/>
        <v>6.1361560672328015E-2</v>
      </c>
      <c r="P28" s="52">
        <f t="shared" si="14"/>
        <v>6.1360569832752829E-2</v>
      </c>
    </row>
    <row r="29" spans="1:16" ht="47.25" x14ac:dyDescent="0.25">
      <c r="A29" s="89" t="s">
        <v>41</v>
      </c>
      <c r="B29" s="40" t="s">
        <v>37</v>
      </c>
      <c r="C29" s="89" t="s">
        <v>36</v>
      </c>
      <c r="D29" s="40">
        <f t="shared" si="6"/>
        <v>0</v>
      </c>
      <c r="E29" s="41"/>
      <c r="F29" s="40">
        <f t="shared" ref="F29:J29" si="20">(F45-F13)</f>
        <v>6160</v>
      </c>
      <c r="G29" s="40">
        <f t="shared" si="20"/>
        <v>6752</v>
      </c>
      <c r="H29" s="40">
        <f t="shared" si="20"/>
        <v>7416</v>
      </c>
      <c r="I29" s="40">
        <f t="shared" si="20"/>
        <v>8271</v>
      </c>
      <c r="J29" s="40">
        <f t="shared" si="20"/>
        <v>9016</v>
      </c>
      <c r="K29" s="59"/>
      <c r="L29" s="52">
        <f t="shared" si="10"/>
        <v>5.8156001586072772E-2</v>
      </c>
      <c r="M29" s="52">
        <f t="shared" si="11"/>
        <v>5.8109212960970782E-2</v>
      </c>
      <c r="N29" s="52">
        <f t="shared" si="12"/>
        <v>5.806178851604215E-2</v>
      </c>
      <c r="O29" s="52">
        <f t="shared" si="13"/>
        <v>5.8038439677494051E-2</v>
      </c>
      <c r="P29" s="52">
        <f t="shared" si="14"/>
        <v>5.801167182483255E-2</v>
      </c>
    </row>
    <row r="30" spans="1:16" ht="63" x14ac:dyDescent="0.25">
      <c r="A30" s="89" t="s">
        <v>42</v>
      </c>
      <c r="B30" s="40" t="s">
        <v>43</v>
      </c>
      <c r="C30" s="89" t="s">
        <v>34</v>
      </c>
      <c r="D30" s="40">
        <f t="shared" si="6"/>
        <v>7848.3950999999943</v>
      </c>
      <c r="E30" s="41"/>
      <c r="F30" s="40">
        <f t="shared" ref="F30:J30" si="21">(F46-F14)</f>
        <v>5345</v>
      </c>
      <c r="G30" s="40">
        <f t="shared" si="21"/>
        <v>5756</v>
      </c>
      <c r="H30" s="40">
        <f t="shared" si="21"/>
        <v>6214</v>
      </c>
      <c r="I30" s="40">
        <f t="shared" si="21"/>
        <v>6805</v>
      </c>
      <c r="J30" s="40">
        <f t="shared" si="21"/>
        <v>7318</v>
      </c>
      <c r="K30" s="59"/>
      <c r="L30" s="52">
        <f t="shared" si="10"/>
        <v>4.8686955175209275E-2</v>
      </c>
      <c r="M30" s="52">
        <f t="shared" si="11"/>
        <v>4.8688473283088451E-2</v>
      </c>
      <c r="N30" s="52">
        <f t="shared" si="12"/>
        <v>4.866511602408978E-2</v>
      </c>
      <c r="O30" s="52">
        <f t="shared" si="13"/>
        <v>4.8675984606801045E-2</v>
      </c>
      <c r="P30" s="52">
        <f t="shared" si="14"/>
        <v>4.8665975048546271E-2</v>
      </c>
    </row>
    <row r="31" spans="1:16" ht="31.5" x14ac:dyDescent="0.25">
      <c r="A31" s="89" t="s">
        <v>44</v>
      </c>
      <c r="B31" s="40" t="s">
        <v>144</v>
      </c>
      <c r="C31" s="40" t="s">
        <v>32</v>
      </c>
      <c r="D31" s="40">
        <f t="shared" si="6"/>
        <v>7963.9560000000056</v>
      </c>
      <c r="E31" s="41"/>
      <c r="F31" s="40">
        <f t="shared" ref="F31:J31" si="22">(F47-F15)</f>
        <v>3829</v>
      </c>
      <c r="G31" s="40">
        <f t="shared" si="22"/>
        <v>4149</v>
      </c>
      <c r="H31" s="40">
        <f t="shared" si="22"/>
        <v>4508</v>
      </c>
      <c r="I31" s="40">
        <f t="shared" si="22"/>
        <v>4973</v>
      </c>
      <c r="J31" s="40">
        <f t="shared" si="22"/>
        <v>5379</v>
      </c>
      <c r="K31" s="59"/>
      <c r="L31" s="52">
        <f t="shared" si="10"/>
        <v>3.7661801156706143E-2</v>
      </c>
      <c r="M31" s="52">
        <f t="shared" si="11"/>
        <v>3.7640505502281658E-2</v>
      </c>
      <c r="N31" s="52">
        <f t="shared" si="12"/>
        <v>3.7602702589982065E-2</v>
      </c>
      <c r="O31" s="52">
        <f t="shared" si="13"/>
        <v>3.7598760065020984E-2</v>
      </c>
      <c r="P31" s="52">
        <f t="shared" si="14"/>
        <v>3.7582007587666895E-2</v>
      </c>
    </row>
    <row r="32" spans="1:16" ht="31.5" x14ac:dyDescent="0.25">
      <c r="A32" s="100" t="s">
        <v>45</v>
      </c>
      <c r="B32" s="40" t="s">
        <v>144</v>
      </c>
      <c r="C32" s="40" t="s">
        <v>32</v>
      </c>
      <c r="D32" s="40">
        <f t="shared" si="6"/>
        <v>6816.8800000000047</v>
      </c>
      <c r="E32" s="41"/>
      <c r="F32" s="40">
        <f t="shared" ref="F32:J32" si="23">(F48-F16)</f>
        <v>2289</v>
      </c>
      <c r="G32" s="40">
        <f t="shared" si="23"/>
        <v>2469</v>
      </c>
      <c r="H32" s="40">
        <f t="shared" si="23"/>
        <v>2672</v>
      </c>
      <c r="I32" s="40">
        <f t="shared" si="23"/>
        <v>2931</v>
      </c>
      <c r="J32" s="40">
        <f t="shared" si="23"/>
        <v>3157</v>
      </c>
      <c r="K32" s="59"/>
      <c r="L32" s="52">
        <f t="shared" si="10"/>
        <v>2.5455677761590731E-2</v>
      </c>
      <c r="M32" s="52">
        <f t="shared" si="11"/>
        <v>2.5434204833426045E-2</v>
      </c>
      <c r="N32" s="52">
        <f t="shared" si="12"/>
        <v>2.5414700958758179E-2</v>
      </c>
      <c r="O32" s="52">
        <f t="shared" si="13"/>
        <v>2.5407860746545538E-2</v>
      </c>
      <c r="P32" s="52">
        <f t="shared" si="14"/>
        <v>2.5392714374190644E-2</v>
      </c>
    </row>
    <row r="33" spans="1:16" ht="63" x14ac:dyDescent="0.25">
      <c r="A33" s="89" t="s">
        <v>46</v>
      </c>
      <c r="B33" s="40" t="s">
        <v>43</v>
      </c>
      <c r="C33" s="89" t="s">
        <v>34</v>
      </c>
      <c r="D33" s="40">
        <f t="shared" si="6"/>
        <v>5814.9927500000049</v>
      </c>
      <c r="E33" s="41"/>
      <c r="F33" s="40">
        <f t="shared" ref="F33:J33" si="24">(F49-F17)</f>
        <v>2032</v>
      </c>
      <c r="G33" s="40">
        <f t="shared" si="24"/>
        <v>2197</v>
      </c>
      <c r="H33" s="40">
        <f t="shared" si="24"/>
        <v>2386</v>
      </c>
      <c r="I33" s="40">
        <f t="shared" si="24"/>
        <v>2625</v>
      </c>
      <c r="J33" s="40">
        <f t="shared" si="24"/>
        <v>2835</v>
      </c>
      <c r="K33" s="59"/>
      <c r="L33" s="52">
        <f t="shared" si="10"/>
        <v>2.7052213968101819E-2</v>
      </c>
      <c r="M33" s="52">
        <f t="shared" si="11"/>
        <v>2.7031682559212549E-2</v>
      </c>
      <c r="N33" s="52">
        <f t="shared" si="12"/>
        <v>2.7028864017399973E-2</v>
      </c>
      <c r="O33" s="52">
        <f t="shared" si="13"/>
        <v>2.7031480089384094E-2</v>
      </c>
      <c r="P33" s="52">
        <f t="shared" si="14"/>
        <v>2.7027542352683211E-2</v>
      </c>
    </row>
    <row r="34" spans="1:16" ht="63" x14ac:dyDescent="0.25">
      <c r="A34" s="89" t="s">
        <v>47</v>
      </c>
      <c r="B34" s="40" t="s">
        <v>43</v>
      </c>
      <c r="C34" s="40" t="s">
        <v>34</v>
      </c>
      <c r="D34" s="40">
        <f t="shared" si="6"/>
        <v>0</v>
      </c>
      <c r="E34" s="41"/>
      <c r="F34" s="40">
        <v>9672.4027992112497</v>
      </c>
      <c r="G34" s="40">
        <v>10729.099687071332</v>
      </c>
      <c r="H34" s="40">
        <v>11933.459790809327</v>
      </c>
      <c r="I34" s="40">
        <v>13461.250964506175</v>
      </c>
      <c r="J34" s="40">
        <v>14809.161736968448</v>
      </c>
      <c r="K34" s="59"/>
      <c r="L34" s="52">
        <f t="shared" si="10"/>
        <v>0.22705541024834455</v>
      </c>
      <c r="M34" s="52">
        <f t="shared" si="11"/>
        <v>0.22685417442746814</v>
      </c>
      <c r="N34" s="52">
        <f t="shared" si="12"/>
        <v>0.22664444867799302</v>
      </c>
      <c r="O34" s="52">
        <f t="shared" si="13"/>
        <v>0.22645359629071474</v>
      </c>
      <c r="P34" s="52">
        <f t="shared" si="14"/>
        <v>0.22631962410836248</v>
      </c>
    </row>
    <row r="35" spans="1:16" x14ac:dyDescent="0.25">
      <c r="A35" s="101"/>
      <c r="B35" s="31"/>
      <c r="C35" s="31"/>
      <c r="D35" s="31"/>
      <c r="E35" s="59"/>
      <c r="F35" s="40">
        <f>(F34/1.44)</f>
        <v>6716.9463883411454</v>
      </c>
      <c r="G35" s="40">
        <f t="shared" ref="G35" si="25">(G34/1.44)</f>
        <v>7450.7636715773142</v>
      </c>
      <c r="H35" s="40">
        <f t="shared" ref="H35" si="26">(H34/1.44)</f>
        <v>8287.1248547286996</v>
      </c>
      <c r="I35" s="40">
        <f t="shared" ref="I35" si="27">(I34/1.44)</f>
        <v>9348.0909475737335</v>
      </c>
      <c r="J35" s="40">
        <f t="shared" ref="J35" si="28">(J34/1.44)</f>
        <v>10284.140095116978</v>
      </c>
      <c r="K35" s="59"/>
      <c r="L35" s="58">
        <f>AVERAGE(L22:L34)</f>
        <v>0.12122161000131827</v>
      </c>
      <c r="M35" s="58">
        <f t="shared" ref="M35:P35" si="29">AVERAGE(M22:M34)</f>
        <v>0.12045591545044285</v>
      </c>
      <c r="N35" s="58">
        <f t="shared" si="29"/>
        <v>0.12415558489956474</v>
      </c>
      <c r="O35" s="58">
        <f t="shared" si="29"/>
        <v>0.12064587991331063</v>
      </c>
      <c r="P35" s="58">
        <f t="shared" si="29"/>
        <v>0.11656901673319395</v>
      </c>
    </row>
    <row r="36" spans="1:16" x14ac:dyDescent="0.25">
      <c r="A36" s="44"/>
      <c r="B36" s="31"/>
      <c r="C36" s="31"/>
      <c r="D36" s="31"/>
      <c r="E36" s="34"/>
      <c r="F36" s="157" t="s">
        <v>51</v>
      </c>
      <c r="G36" s="154"/>
      <c r="H36" s="154"/>
      <c r="I36" s="154"/>
      <c r="J36" s="154"/>
      <c r="K36" s="59"/>
      <c r="L36" s="156" t="s">
        <v>52</v>
      </c>
      <c r="M36" s="154"/>
      <c r="N36" s="154"/>
      <c r="O36" s="154"/>
      <c r="P36" s="154"/>
    </row>
    <row r="37" spans="1:16" s="38" customFormat="1" ht="31.5" x14ac:dyDescent="0.25">
      <c r="A37" s="99" t="s">
        <v>20</v>
      </c>
      <c r="B37" s="35" t="s">
        <v>21</v>
      </c>
      <c r="C37" s="35" t="s">
        <v>22</v>
      </c>
      <c r="D37" s="35" t="s">
        <v>50</v>
      </c>
      <c r="E37" s="32"/>
      <c r="F37" s="33" t="s">
        <v>24</v>
      </c>
      <c r="G37" s="33" t="s">
        <v>25</v>
      </c>
      <c r="H37" s="33" t="s">
        <v>26</v>
      </c>
      <c r="I37" s="33" t="s">
        <v>27</v>
      </c>
      <c r="J37" s="33" t="s">
        <v>28</v>
      </c>
      <c r="K37" s="59"/>
      <c r="L37" s="53" t="s">
        <v>24</v>
      </c>
      <c r="M37" s="53" t="s">
        <v>25</v>
      </c>
      <c r="N37" s="53" t="s">
        <v>26</v>
      </c>
      <c r="O37" s="53" t="s">
        <v>27</v>
      </c>
      <c r="P37" s="53" t="s">
        <v>28</v>
      </c>
    </row>
    <row r="38" spans="1:16" ht="31.5" x14ac:dyDescent="0.25">
      <c r="A38" s="89" t="s">
        <v>29</v>
      </c>
      <c r="B38" s="40" t="s">
        <v>30</v>
      </c>
      <c r="C38" s="40" t="s">
        <v>31</v>
      </c>
      <c r="D38" s="40">
        <v>719347.77</v>
      </c>
      <c r="E38" s="41"/>
      <c r="F38" s="40">
        <v>392381</v>
      </c>
      <c r="G38" s="40">
        <v>570293</v>
      </c>
      <c r="H38" s="40">
        <v>770964</v>
      </c>
      <c r="I38" s="40">
        <v>1038277</v>
      </c>
      <c r="J38" s="40">
        <v>1274330</v>
      </c>
      <c r="K38" s="59"/>
      <c r="L38" s="52">
        <f t="shared" ref="L38:L49" si="30">($D38-F38)/$D38</f>
        <v>0.45453226330290841</v>
      </c>
      <c r="M38" s="52">
        <f t="shared" ref="M38:M49" si="31">($D38-G38)/$D38</f>
        <v>0.20720821863394392</v>
      </c>
      <c r="N38" s="52">
        <f t="shared" ref="N38:N49" si="32">($D38-H38)/$D38</f>
        <v>-7.1754208677118694E-2</v>
      </c>
      <c r="O38" s="52">
        <f t="shared" ref="O38:O49" si="33">($D38-I38)/$D38</f>
        <v>-0.44335889162483949</v>
      </c>
      <c r="P38" s="52">
        <f t="shared" ref="P38:P49" si="34">($D38-J38)/$D38</f>
        <v>-0.77150754217254325</v>
      </c>
    </row>
    <row r="39" spans="1:16" ht="31.5" x14ac:dyDescent="0.25">
      <c r="A39" s="89" t="s">
        <v>32</v>
      </c>
      <c r="B39" s="40" t="s">
        <v>30</v>
      </c>
      <c r="C39" s="40" t="s">
        <v>33</v>
      </c>
      <c r="D39" s="40">
        <v>333297.09269999998</v>
      </c>
      <c r="E39" s="41"/>
      <c r="F39" s="40">
        <v>265568</v>
      </c>
      <c r="G39" s="40">
        <v>382052</v>
      </c>
      <c r="H39" s="40">
        <v>510865</v>
      </c>
      <c r="I39" s="40">
        <v>675672</v>
      </c>
      <c r="J39" s="40">
        <v>824297</v>
      </c>
      <c r="K39" s="59"/>
      <c r="L39" s="52">
        <f t="shared" si="30"/>
        <v>0.20320937140895734</v>
      </c>
      <c r="M39" s="52">
        <f t="shared" si="31"/>
        <v>-0.14628062580757106</v>
      </c>
      <c r="N39" s="52">
        <f t="shared" si="32"/>
        <v>-0.53276164475826537</v>
      </c>
      <c r="O39" s="52">
        <f t="shared" si="33"/>
        <v>-1.0272364049937002</v>
      </c>
      <c r="P39" s="52">
        <f t="shared" si="34"/>
        <v>-1.4731598866418796</v>
      </c>
    </row>
    <row r="40" spans="1:16" ht="31.5" x14ac:dyDescent="0.25">
      <c r="A40" s="89" t="s">
        <v>34</v>
      </c>
      <c r="B40" s="40" t="s">
        <v>30</v>
      </c>
      <c r="C40" s="40" t="s">
        <v>35</v>
      </c>
      <c r="D40" s="40">
        <v>276887.23839999997</v>
      </c>
      <c r="E40" s="41"/>
      <c r="F40" s="40">
        <v>274372</v>
      </c>
      <c r="G40" s="40">
        <v>340363</v>
      </c>
      <c r="H40" s="40">
        <v>414286</v>
      </c>
      <c r="I40" s="40">
        <v>509832</v>
      </c>
      <c r="J40" s="40">
        <v>593171</v>
      </c>
      <c r="K40" s="59"/>
      <c r="L40" s="52">
        <f t="shared" si="30"/>
        <v>9.0839809538870147E-3</v>
      </c>
      <c r="M40" s="52">
        <f t="shared" si="31"/>
        <v>-0.22924769652366916</v>
      </c>
      <c r="N40" s="52">
        <f t="shared" si="32"/>
        <v>-0.49622641474544765</v>
      </c>
      <c r="O40" s="52">
        <f t="shared" si="33"/>
        <v>-0.84129829509686804</v>
      </c>
      <c r="P40" s="52">
        <f t="shared" si="34"/>
        <v>-1.142283636572252</v>
      </c>
    </row>
    <row r="41" spans="1:16" ht="31.5" x14ac:dyDescent="0.25">
      <c r="A41" s="89" t="s">
        <v>36</v>
      </c>
      <c r="B41" s="40" t="s">
        <v>150</v>
      </c>
      <c r="C41" s="89" t="s">
        <v>32</v>
      </c>
      <c r="D41" s="40">
        <v>264375.78724999999</v>
      </c>
      <c r="E41" s="41"/>
      <c r="F41" s="40">
        <v>265250</v>
      </c>
      <c r="G41" s="40">
        <v>275412</v>
      </c>
      <c r="H41" s="40">
        <v>287071</v>
      </c>
      <c r="I41" s="40">
        <v>292029</v>
      </c>
      <c r="J41" s="40">
        <v>302493</v>
      </c>
      <c r="K41" s="59"/>
      <c r="L41" s="52">
        <f t="shared" si="30"/>
        <v>-3.3067050469842377E-3</v>
      </c>
      <c r="M41" s="52">
        <f t="shared" si="31"/>
        <v>-4.1744415647125437E-2</v>
      </c>
      <c r="N41" s="52">
        <f t="shared" si="32"/>
        <v>-8.5844520733431906E-2</v>
      </c>
      <c r="O41" s="52">
        <f t="shared" si="33"/>
        <v>-0.10459812919195385</v>
      </c>
      <c r="P41" s="52">
        <f t="shared" si="34"/>
        <v>-0.14417815317540963</v>
      </c>
    </row>
    <row r="42" spans="1:16" ht="47.25" x14ac:dyDescent="0.25">
      <c r="A42" s="89" t="s">
        <v>38</v>
      </c>
      <c r="B42" s="40" t="s">
        <v>144</v>
      </c>
      <c r="C42" s="40" t="s">
        <v>32</v>
      </c>
      <c r="D42" s="40">
        <v>201234.1403</v>
      </c>
      <c r="E42" s="41"/>
      <c r="F42" s="40">
        <v>182512</v>
      </c>
      <c r="G42" s="40">
        <v>195020</v>
      </c>
      <c r="H42" s="40">
        <v>208672</v>
      </c>
      <c r="I42" s="40">
        <v>226709</v>
      </c>
      <c r="J42" s="40">
        <v>232454</v>
      </c>
      <c r="K42" s="59"/>
      <c r="L42" s="52">
        <f t="shared" si="30"/>
        <v>9.3036600410293296E-2</v>
      </c>
      <c r="M42" s="52">
        <f t="shared" si="31"/>
        <v>3.0880149316293719E-2</v>
      </c>
      <c r="N42" s="52">
        <f t="shared" si="32"/>
        <v>-3.6961221832993323E-2</v>
      </c>
      <c r="O42" s="52">
        <f t="shared" si="33"/>
        <v>-0.12659313008231138</v>
      </c>
      <c r="P42" s="52">
        <f t="shared" si="34"/>
        <v>-0.15514196375156528</v>
      </c>
    </row>
    <row r="43" spans="1:16" ht="31.5" x14ac:dyDescent="0.25">
      <c r="A43" s="89" t="s">
        <v>39</v>
      </c>
      <c r="B43" s="40" t="s">
        <v>144</v>
      </c>
      <c r="C43" s="40" t="s">
        <v>32</v>
      </c>
      <c r="D43" s="40">
        <v>194983.42499999999</v>
      </c>
      <c r="E43" s="41"/>
      <c r="F43" s="40">
        <v>169044</v>
      </c>
      <c r="G43" s="40">
        <v>182053</v>
      </c>
      <c r="H43" s="40">
        <v>206217</v>
      </c>
      <c r="I43" s="40">
        <v>215095</v>
      </c>
      <c r="J43" s="40">
        <v>231560</v>
      </c>
      <c r="K43" s="59"/>
      <c r="L43" s="52">
        <f t="shared" si="30"/>
        <v>0.13303400019770906</v>
      </c>
      <c r="M43" s="52">
        <f t="shared" si="31"/>
        <v>6.6315508613103855E-2</v>
      </c>
      <c r="N43" s="52">
        <f t="shared" si="32"/>
        <v>-5.7612974025869186E-2</v>
      </c>
      <c r="O43" s="52">
        <f t="shared" si="33"/>
        <v>-0.10314504938047946</v>
      </c>
      <c r="P43" s="52">
        <f t="shared" si="34"/>
        <v>-0.18758812447776016</v>
      </c>
    </row>
    <row r="44" spans="1:16" ht="31.5" x14ac:dyDescent="0.25">
      <c r="A44" s="89" t="s">
        <v>40</v>
      </c>
      <c r="B44" s="40" t="s">
        <v>144</v>
      </c>
      <c r="C44" s="40" t="s">
        <v>32</v>
      </c>
      <c r="D44" s="40">
        <v>157838.26799999998</v>
      </c>
      <c r="E44" s="41"/>
      <c r="F44" s="40">
        <v>142368</v>
      </c>
      <c r="G44" s="40">
        <v>154995</v>
      </c>
      <c r="H44" s="40">
        <v>169094</v>
      </c>
      <c r="I44" s="40">
        <v>187100</v>
      </c>
      <c r="J44" s="40">
        <v>202947</v>
      </c>
      <c r="K44" s="59"/>
      <c r="L44" s="52">
        <f t="shared" si="30"/>
        <v>9.801341712644733E-2</v>
      </c>
      <c r="M44" s="52">
        <f t="shared" si="31"/>
        <v>1.8013806385660427E-2</v>
      </c>
      <c r="N44" s="52">
        <f t="shared" si="32"/>
        <v>-7.1311806335837516E-2</v>
      </c>
      <c r="O44" s="52">
        <f t="shared" si="33"/>
        <v>-0.18539060502108412</v>
      </c>
      <c r="P44" s="52">
        <f t="shared" si="34"/>
        <v>-0.28579084509467645</v>
      </c>
    </row>
    <row r="45" spans="1:16" ht="47.25" x14ac:dyDescent="0.25">
      <c r="A45" s="89" t="s">
        <v>41</v>
      </c>
      <c r="B45" s="40" t="s">
        <v>37</v>
      </c>
      <c r="C45" s="89" t="s">
        <v>36</v>
      </c>
      <c r="D45" s="40">
        <v>125000</v>
      </c>
      <c r="E45" s="41"/>
      <c r="F45" s="40">
        <v>112082</v>
      </c>
      <c r="G45" s="40">
        <v>122947</v>
      </c>
      <c r="H45" s="40">
        <v>135142</v>
      </c>
      <c r="I45" s="40">
        <v>150780</v>
      </c>
      <c r="J45" s="40">
        <v>164433</v>
      </c>
      <c r="K45" s="59"/>
      <c r="L45" s="52">
        <f t="shared" si="30"/>
        <v>0.10334400000000001</v>
      </c>
      <c r="M45" s="52">
        <f t="shared" si="31"/>
        <v>1.6424000000000001E-2</v>
      </c>
      <c r="N45" s="52">
        <f t="shared" si="32"/>
        <v>-8.1136E-2</v>
      </c>
      <c r="O45" s="52">
        <f t="shared" si="33"/>
        <v>-0.20624000000000001</v>
      </c>
      <c r="P45" s="52">
        <f t="shared" si="34"/>
        <v>-0.31546400000000002</v>
      </c>
    </row>
    <row r="46" spans="1:16" ht="63" x14ac:dyDescent="0.25">
      <c r="A46" s="89" t="s">
        <v>42</v>
      </c>
      <c r="B46" s="40" t="s">
        <v>43</v>
      </c>
      <c r="C46" s="89" t="s">
        <v>34</v>
      </c>
      <c r="D46" s="40">
        <v>119968.32509999999</v>
      </c>
      <c r="E46" s="41"/>
      <c r="F46" s="40">
        <v>115128</v>
      </c>
      <c r="G46" s="40">
        <v>123977</v>
      </c>
      <c r="H46" s="40">
        <v>133903</v>
      </c>
      <c r="I46" s="40">
        <v>146607</v>
      </c>
      <c r="J46" s="40">
        <v>157690</v>
      </c>
      <c r="K46" s="59"/>
      <c r="L46" s="52">
        <f t="shared" si="30"/>
        <v>4.0346692312035852E-2</v>
      </c>
      <c r="M46" s="52">
        <f t="shared" si="31"/>
        <v>-3.3414444159811089E-2</v>
      </c>
      <c r="N46" s="52">
        <f t="shared" si="32"/>
        <v>-0.11615295027570585</v>
      </c>
      <c r="O46" s="52">
        <f t="shared" si="33"/>
        <v>-0.22204756862109443</v>
      </c>
      <c r="P46" s="52">
        <f t="shared" si="34"/>
        <v>-0.31443028706583165</v>
      </c>
    </row>
    <row r="47" spans="1:16" ht="31.5" x14ac:dyDescent="0.25">
      <c r="A47" s="89" t="s">
        <v>44</v>
      </c>
      <c r="B47" s="40" t="s">
        <v>144</v>
      </c>
      <c r="C47" s="40" t="s">
        <v>32</v>
      </c>
      <c r="D47" s="40">
        <v>121734.75600000001</v>
      </c>
      <c r="E47" s="41"/>
      <c r="F47" s="40">
        <v>105497</v>
      </c>
      <c r="G47" s="40">
        <v>114376</v>
      </c>
      <c r="H47" s="40">
        <v>124393</v>
      </c>
      <c r="I47" s="40">
        <v>137238</v>
      </c>
      <c r="J47" s="40">
        <v>148506</v>
      </c>
      <c r="K47" s="59"/>
      <c r="L47" s="52">
        <f t="shared" si="30"/>
        <v>0.13338636009587934</v>
      </c>
      <c r="M47" s="52">
        <f t="shared" si="31"/>
        <v>6.0449096394459507E-2</v>
      </c>
      <c r="N47" s="52">
        <f t="shared" si="32"/>
        <v>-2.1836360357102874E-2</v>
      </c>
      <c r="O47" s="52">
        <f t="shared" si="33"/>
        <v>-0.12735265185893166</v>
      </c>
      <c r="P47" s="52">
        <f t="shared" si="34"/>
        <v>-0.21991454930094073</v>
      </c>
    </row>
    <row r="48" spans="1:16" ht="31.5" x14ac:dyDescent="0.25">
      <c r="A48" s="100" t="s">
        <v>45</v>
      </c>
      <c r="B48" s="40" t="s">
        <v>144</v>
      </c>
      <c r="C48" s="40" t="s">
        <v>32</v>
      </c>
      <c r="D48" s="40">
        <v>104200.88</v>
      </c>
      <c r="E48" s="41"/>
      <c r="F48" s="40">
        <v>92210</v>
      </c>
      <c r="G48" s="40">
        <v>99543</v>
      </c>
      <c r="H48" s="40">
        <v>107808</v>
      </c>
      <c r="I48" s="40">
        <v>118289</v>
      </c>
      <c r="J48" s="40">
        <v>127484</v>
      </c>
      <c r="K48" s="59"/>
      <c r="L48" s="52">
        <f t="shared" si="30"/>
        <v>0.11507465196071284</v>
      </c>
      <c r="M48" s="52">
        <f t="shared" si="31"/>
        <v>4.470096605710052E-2</v>
      </c>
      <c r="N48" s="52">
        <f t="shared" si="32"/>
        <v>-3.4616982121456127E-2</v>
      </c>
      <c r="O48" s="52">
        <f t="shared" si="33"/>
        <v>-0.13520154532284176</v>
      </c>
      <c r="P48" s="52">
        <f t="shared" si="34"/>
        <v>-0.22344456208047372</v>
      </c>
    </row>
    <row r="49" spans="1:16" ht="63" x14ac:dyDescent="0.25">
      <c r="A49" s="89" t="s">
        <v>46</v>
      </c>
      <c r="B49" s="40" t="s">
        <v>43</v>
      </c>
      <c r="C49" s="89" t="s">
        <v>34</v>
      </c>
      <c r="D49" s="40">
        <v>88886.317750000002</v>
      </c>
      <c r="E49" s="41"/>
      <c r="F49" s="40">
        <v>77146</v>
      </c>
      <c r="G49" s="40">
        <v>83472</v>
      </c>
      <c r="H49" s="40">
        <v>90662</v>
      </c>
      <c r="I49" s="40">
        <v>99734</v>
      </c>
      <c r="J49" s="40">
        <v>107728</v>
      </c>
      <c r="K49" s="59"/>
      <c r="L49" s="52">
        <f t="shared" si="30"/>
        <v>0.13208239521205728</v>
      </c>
      <c r="M49" s="52">
        <f t="shared" si="31"/>
        <v>6.0912836610334239E-2</v>
      </c>
      <c r="N49" s="52">
        <f t="shared" si="32"/>
        <v>-1.9977003153559006E-2</v>
      </c>
      <c r="O49" s="52">
        <f t="shared" si="33"/>
        <v>-0.12203995535634614</v>
      </c>
      <c r="P49" s="52">
        <f t="shared" si="34"/>
        <v>-0.21197505675725889</v>
      </c>
    </row>
    <row r="50" spans="1:16" ht="63" x14ac:dyDescent="0.25">
      <c r="A50" s="89" t="s">
        <v>47</v>
      </c>
      <c r="B50" s="40" t="s">
        <v>43</v>
      </c>
      <c r="C50" s="40" t="s">
        <v>34</v>
      </c>
      <c r="D50" s="40">
        <v>50750</v>
      </c>
      <c r="E50" s="41"/>
      <c r="F50" s="40">
        <v>49316.251943896699</v>
      </c>
      <c r="G50" s="40">
        <v>54745.902560466202</v>
      </c>
      <c r="H50" s="40">
        <v>60939.902632506477</v>
      </c>
      <c r="I50" s="40">
        <v>68791.840947573728</v>
      </c>
      <c r="J50" s="40">
        <v>75718.862317339197</v>
      </c>
      <c r="K50" s="59"/>
      <c r="L50" s="52">
        <f>($D50-F50)/$D50</f>
        <v>2.825119322371036E-2</v>
      </c>
      <c r="M50" s="52">
        <f>($D50-G50)/$D50</f>
        <v>-7.8736996265343875E-2</v>
      </c>
      <c r="N50" s="52">
        <f>($D50-H50)/$D50</f>
        <v>-0.20078625876860054</v>
      </c>
      <c r="O50" s="52">
        <f>($D50-I50)/$D50</f>
        <v>-0.35550425512460548</v>
      </c>
      <c r="P50" s="52">
        <f>($D50-J50)/$D50</f>
        <v>-0.49199728704116646</v>
      </c>
    </row>
    <row r="51" spans="1:16" x14ac:dyDescent="0.25">
      <c r="A51" s="31"/>
      <c r="B51" s="31"/>
      <c r="C51" s="31"/>
      <c r="D51" s="59"/>
      <c r="E51" s="57"/>
      <c r="F51" s="31"/>
      <c r="G51" s="31"/>
      <c r="H51" s="31"/>
      <c r="I51" s="31"/>
      <c r="J51" s="31"/>
      <c r="K51" s="57"/>
      <c r="L51" s="58">
        <f>AVERAGE(L38:L50)</f>
        <v>0.11846832470443183</v>
      </c>
      <c r="M51" s="58">
        <f t="shared" ref="M51:P51" si="35">AVERAGE(M38:M50)</f>
        <v>-1.8861227994326512E-3</v>
      </c>
      <c r="N51" s="58">
        <f t="shared" si="35"/>
        <v>-0.14053679582964526</v>
      </c>
      <c r="O51" s="58">
        <f t="shared" si="35"/>
        <v>-0.30769280628269663</v>
      </c>
      <c r="P51" s="58">
        <f t="shared" si="35"/>
        <v>-0.4566827610870583</v>
      </c>
    </row>
    <row r="52" spans="1:16" x14ac:dyDescent="0.25">
      <c r="A52" s="36"/>
      <c r="D52" s="37"/>
      <c r="E52" s="38"/>
      <c r="J52" s="47"/>
      <c r="K52" s="38"/>
      <c r="P52" s="55"/>
    </row>
    <row r="53" spans="1:16" x14ac:dyDescent="0.25">
      <c r="A53" s="36"/>
      <c r="D53" s="37"/>
      <c r="E53" s="38"/>
      <c r="J53" s="47"/>
      <c r="K53" s="38"/>
      <c r="P53" s="55"/>
    </row>
    <row r="54" spans="1:16" x14ac:dyDescent="0.25">
      <c r="A54" s="36"/>
      <c r="D54" s="37"/>
      <c r="E54" s="38"/>
      <c r="J54" s="47"/>
      <c r="K54" s="38"/>
      <c r="P54" s="55"/>
    </row>
    <row r="55" spans="1:16" x14ac:dyDescent="0.25">
      <c r="A55" s="36"/>
      <c r="D55" s="37"/>
      <c r="E55" s="38"/>
      <c r="J55" s="47"/>
      <c r="K55" s="38"/>
      <c r="P55" s="55"/>
    </row>
    <row r="56" spans="1:16" x14ac:dyDescent="0.25">
      <c r="A56" s="36"/>
      <c r="D56" s="37"/>
      <c r="E56" s="38"/>
      <c r="J56" s="47"/>
      <c r="K56" s="38"/>
      <c r="P56" s="55"/>
    </row>
    <row r="57" spans="1:16" x14ac:dyDescent="0.25">
      <c r="A57" s="36"/>
      <c r="D57" s="37"/>
      <c r="E57" s="38"/>
      <c r="J57" s="47"/>
      <c r="K57" s="38"/>
      <c r="P57" s="55"/>
    </row>
    <row r="58" spans="1:16" x14ac:dyDescent="0.25">
      <c r="A58" s="36"/>
      <c r="D58" s="37"/>
      <c r="E58" s="38"/>
      <c r="J58" s="47"/>
      <c r="K58" s="38"/>
      <c r="P58" s="55"/>
    </row>
    <row r="59" spans="1:16" x14ac:dyDescent="0.25">
      <c r="A59" s="36"/>
      <c r="D59" s="37"/>
      <c r="E59" s="38"/>
      <c r="J59" s="47"/>
      <c r="K59" s="38"/>
      <c r="P59" s="55"/>
    </row>
    <row r="60" spans="1:16" x14ac:dyDescent="0.25">
      <c r="A60" s="36"/>
      <c r="D60" s="37"/>
      <c r="E60" s="38"/>
      <c r="J60" s="47"/>
      <c r="K60" s="38"/>
      <c r="P60" s="55"/>
    </row>
    <row r="61" spans="1:16" x14ac:dyDescent="0.25">
      <c r="A61" s="36"/>
      <c r="D61" s="37"/>
      <c r="E61" s="38"/>
      <c r="J61" s="47"/>
      <c r="K61" s="38"/>
      <c r="P61" s="55"/>
    </row>
    <row r="62" spans="1:16" x14ac:dyDescent="0.25">
      <c r="A62" s="36"/>
      <c r="D62" s="37"/>
      <c r="E62" s="38"/>
      <c r="J62" s="47"/>
      <c r="K62" s="38"/>
      <c r="P62" s="55"/>
    </row>
    <row r="63" spans="1:16" x14ac:dyDescent="0.25">
      <c r="A63" s="36"/>
      <c r="D63" s="37"/>
      <c r="E63" s="38"/>
      <c r="J63" s="47"/>
      <c r="K63" s="38"/>
      <c r="P63" s="55"/>
    </row>
    <row r="64" spans="1:16" x14ac:dyDescent="0.25">
      <c r="A64" s="36"/>
      <c r="D64" s="37"/>
      <c r="E64" s="38"/>
      <c r="J64" s="47"/>
      <c r="K64" s="38"/>
      <c r="P64" s="55"/>
    </row>
  </sheetData>
  <sortState xmlns:xlrd2="http://schemas.microsoft.com/office/spreadsheetml/2017/richdata2" ref="A37:P50">
    <sortCondition descending="1" ref="H37:H50"/>
  </sortState>
  <mergeCells count="10">
    <mergeCell ref="B2:C2"/>
    <mergeCell ref="B1:C1"/>
    <mergeCell ref="E3:J3"/>
    <mergeCell ref="K3:P3"/>
    <mergeCell ref="L36:P36"/>
    <mergeCell ref="F36:J36"/>
    <mergeCell ref="L4:P4"/>
    <mergeCell ref="F4:J4"/>
    <mergeCell ref="F20:J20"/>
    <mergeCell ref="L20:P20"/>
  </mergeCells>
  <pageMargins left="0.7" right="0.7" top="0.75" bottom="0.75" header="0.3" footer="0.3"/>
  <pageSetup scale="5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7CF30-EACB-4401-8BBB-A46013CF77CA}">
  <sheetPr>
    <pageSetUpPr fitToPage="1"/>
  </sheetPr>
  <dimension ref="A1:S33"/>
  <sheetViews>
    <sheetView zoomScale="81" zoomScaleNormal="81" workbookViewId="0">
      <selection activeCell="B1" sqref="B1:C1"/>
    </sheetView>
  </sheetViews>
  <sheetFormatPr defaultColWidth="8.85546875" defaultRowHeight="15.75" x14ac:dyDescent="0.25"/>
  <cols>
    <col min="1" max="1" width="28.42578125" style="29" customWidth="1"/>
    <col min="2" max="2" width="19.42578125" style="36" customWidth="1"/>
    <col min="3" max="3" width="18.7109375" style="36" customWidth="1"/>
    <col min="4" max="4" width="19" style="36" customWidth="1"/>
    <col min="5" max="5" width="19" style="38" customWidth="1"/>
    <col min="6" max="6" width="1.85546875" style="38" customWidth="1"/>
    <col min="7" max="8" width="15.140625" style="36" bestFit="1" customWidth="1"/>
    <col min="9" max="9" width="15.140625" style="36" customWidth="1"/>
    <col min="10" max="11" width="15.7109375" style="36" bestFit="1" customWidth="1"/>
    <col min="12" max="12" width="15.7109375" style="36" customWidth="1"/>
    <col min="13" max="13" width="18.28515625" style="36" customWidth="1"/>
    <col min="14" max="14" width="14.42578125" style="29" customWidth="1"/>
    <col min="15" max="15" width="12.5703125" style="29" customWidth="1"/>
    <col min="16" max="16" width="21.140625" style="29" customWidth="1"/>
    <col min="17" max="17" width="29.5703125" style="29" customWidth="1"/>
    <col min="18" max="18" width="23.140625" style="29" customWidth="1"/>
    <col min="19" max="19" width="21.140625" style="29" customWidth="1"/>
    <col min="20" max="16384" width="8.85546875" style="29"/>
  </cols>
  <sheetData>
    <row r="1" spans="1:19" x14ac:dyDescent="0.25">
      <c r="A1" s="43" t="s">
        <v>14</v>
      </c>
      <c r="B1" s="152"/>
      <c r="C1" s="153"/>
      <c r="D1" s="56"/>
      <c r="E1" s="56"/>
      <c r="F1" s="56"/>
      <c r="G1" s="45"/>
      <c r="H1" s="45"/>
      <c r="I1" s="45"/>
      <c r="J1" s="45"/>
      <c r="K1" s="45"/>
      <c r="L1" s="45"/>
      <c r="M1" s="45"/>
      <c r="N1" s="67"/>
      <c r="O1" s="67"/>
      <c r="P1" s="67"/>
      <c r="Q1" s="67"/>
      <c r="R1" s="68"/>
      <c r="S1" s="104"/>
    </row>
    <row r="2" spans="1:19" x14ac:dyDescent="0.25">
      <c r="A2" s="39" t="s">
        <v>15</v>
      </c>
      <c r="B2" s="150" t="s">
        <v>16</v>
      </c>
      <c r="C2" s="151"/>
      <c r="D2" s="57"/>
      <c r="E2" s="57"/>
      <c r="F2" s="57"/>
      <c r="G2" s="42"/>
      <c r="H2" s="42"/>
      <c r="I2" s="42"/>
      <c r="J2" s="42"/>
      <c r="K2" s="42"/>
      <c r="L2" s="42"/>
      <c r="M2" s="42"/>
      <c r="N2" s="60"/>
      <c r="O2" s="57"/>
      <c r="P2" s="57"/>
      <c r="Q2" s="57"/>
      <c r="R2" s="61"/>
      <c r="S2" s="104"/>
    </row>
    <row r="3" spans="1:19" ht="16.5" customHeight="1" x14ac:dyDescent="0.25">
      <c r="A3" s="30"/>
      <c r="B3" s="31"/>
      <c r="C3" s="31"/>
      <c r="D3" s="65"/>
      <c r="E3" s="93"/>
      <c r="F3" s="93"/>
      <c r="G3" s="158" t="s">
        <v>53</v>
      </c>
      <c r="H3" s="159"/>
      <c r="I3" s="159"/>
      <c r="J3" s="159"/>
      <c r="K3" s="159"/>
      <c r="L3" s="159"/>
      <c r="M3" s="159"/>
      <c r="N3" s="60"/>
      <c r="O3" s="57"/>
      <c r="P3" s="57"/>
      <c r="Q3" s="57"/>
      <c r="R3" s="61"/>
      <c r="S3" s="104"/>
    </row>
    <row r="4" spans="1:19" x14ac:dyDescent="0.25">
      <c r="A4" s="97"/>
      <c r="B4" s="92"/>
      <c r="C4" s="92"/>
      <c r="D4" s="66"/>
      <c r="E4" s="94" t="s">
        <v>145</v>
      </c>
      <c r="F4" s="93"/>
      <c r="G4" s="102" t="s">
        <v>54</v>
      </c>
      <c r="H4" s="102" t="s">
        <v>55</v>
      </c>
      <c r="I4" s="91" t="s">
        <v>55</v>
      </c>
      <c r="J4" s="91" t="s">
        <v>26</v>
      </c>
      <c r="K4" s="91" t="s">
        <v>56</v>
      </c>
      <c r="L4" s="103" t="s">
        <v>56</v>
      </c>
      <c r="M4" s="103" t="s">
        <v>57</v>
      </c>
      <c r="N4" s="58" t="s">
        <v>58</v>
      </c>
      <c r="O4" s="63" t="s">
        <v>59</v>
      </c>
      <c r="P4" s="63" t="s">
        <v>146</v>
      </c>
      <c r="Q4" s="63" t="s">
        <v>146</v>
      </c>
      <c r="R4" s="64" t="s">
        <v>60</v>
      </c>
      <c r="S4" s="64" t="s">
        <v>60</v>
      </c>
    </row>
    <row r="5" spans="1:19" ht="31.5" x14ac:dyDescent="0.25">
      <c r="A5" s="97" t="s">
        <v>20</v>
      </c>
      <c r="B5" s="92" t="s">
        <v>21</v>
      </c>
      <c r="C5" s="92" t="s">
        <v>22</v>
      </c>
      <c r="D5" s="66" t="s">
        <v>23</v>
      </c>
      <c r="E5" s="94" t="s">
        <v>149</v>
      </c>
      <c r="F5" s="93"/>
      <c r="G5" s="160" t="s">
        <v>151</v>
      </c>
      <c r="H5" s="161"/>
      <c r="I5" s="162" t="s">
        <v>61</v>
      </c>
      <c r="J5" s="163"/>
      <c r="K5" s="163"/>
      <c r="L5" s="164" t="s">
        <v>152</v>
      </c>
      <c r="M5" s="164"/>
      <c r="N5" s="58" t="s">
        <v>62</v>
      </c>
      <c r="O5" s="63" t="s">
        <v>63</v>
      </c>
      <c r="P5" s="63" t="s">
        <v>147</v>
      </c>
      <c r="Q5" s="63" t="s">
        <v>148</v>
      </c>
      <c r="R5" s="64" t="s">
        <v>146</v>
      </c>
      <c r="S5" s="64" t="s">
        <v>61</v>
      </c>
    </row>
    <row r="6" spans="1:19" ht="31.5" x14ac:dyDescent="0.25">
      <c r="A6" s="89" t="s">
        <v>29</v>
      </c>
      <c r="B6" s="40" t="s">
        <v>30</v>
      </c>
      <c r="C6" s="40" t="s">
        <v>31</v>
      </c>
      <c r="D6" s="40">
        <v>719347.77</v>
      </c>
      <c r="E6" s="86">
        <v>1</v>
      </c>
      <c r="F6" s="57"/>
      <c r="G6" s="40">
        <f>(J6*0.8)</f>
        <v>559162.4</v>
      </c>
      <c r="H6" s="40">
        <f>AVERAGE(J6,G6)</f>
        <v>629057.69999999995</v>
      </c>
      <c r="I6" s="40">
        <v>629057.69999999995</v>
      </c>
      <c r="J6" s="40">
        <v>698953</v>
      </c>
      <c r="K6" s="40">
        <f>AVERAGE(M6,J6)</f>
        <v>768848.3</v>
      </c>
      <c r="L6" s="40">
        <v>768848.3</v>
      </c>
      <c r="M6" s="40">
        <f>(J6*1.2)</f>
        <v>838743.6</v>
      </c>
      <c r="N6" s="52">
        <f t="shared" ref="N6:N18" si="0">(D6/J6)</f>
        <v>1.0291790292051111</v>
      </c>
      <c r="O6" s="41">
        <f t="shared" ref="O6:O18" si="1">IF(D6&lt;G6,G6-D6,0)</f>
        <v>0</v>
      </c>
      <c r="P6" s="41">
        <f>(E6*0.025)*G6+G6</f>
        <v>573141.46000000008</v>
      </c>
      <c r="Q6" s="41">
        <f>IF(P6&gt;M6,M6,P6)</f>
        <v>573141.46000000008</v>
      </c>
      <c r="R6" s="62">
        <f>IF(Q6&gt;D6,Q6-D6,0)</f>
        <v>0</v>
      </c>
      <c r="S6" s="62">
        <f>IF(D6&lt;I6,I6-D6,0)</f>
        <v>0</v>
      </c>
    </row>
    <row r="7" spans="1:19" ht="31.5" x14ac:dyDescent="0.25">
      <c r="A7" s="89" t="s">
        <v>32</v>
      </c>
      <c r="B7" s="40" t="s">
        <v>30</v>
      </c>
      <c r="C7" s="40" t="s">
        <v>33</v>
      </c>
      <c r="D7" s="40">
        <v>311492.61</v>
      </c>
      <c r="E7" s="86">
        <v>18</v>
      </c>
      <c r="F7" s="57"/>
      <c r="G7" s="40">
        <f t="shared" ref="G7:G18" si="2">(J7*0.8)</f>
        <v>296061.60000000003</v>
      </c>
      <c r="H7" s="40">
        <f t="shared" ref="H7:H18" si="3">AVERAGE(J7,G7)</f>
        <v>333069.30000000005</v>
      </c>
      <c r="I7" s="40">
        <v>333069.30000000005</v>
      </c>
      <c r="J7" s="40">
        <v>370077</v>
      </c>
      <c r="K7" s="40">
        <f t="shared" ref="K7:K18" si="4">AVERAGE(M7,J7)</f>
        <v>407084.69999999995</v>
      </c>
      <c r="L7" s="40">
        <v>407084.69999999995</v>
      </c>
      <c r="M7" s="40">
        <f t="shared" ref="M7:M18" si="5">(J7*1.2)</f>
        <v>444092.39999999997</v>
      </c>
      <c r="N7" s="52">
        <f t="shared" si="0"/>
        <v>0.84169675499963514</v>
      </c>
      <c r="O7" s="41">
        <f t="shared" si="1"/>
        <v>0</v>
      </c>
      <c r="P7" s="41">
        <f t="shared" ref="P7:P18" si="6">(E7*0.025)*G7+G7</f>
        <v>429289.32000000007</v>
      </c>
      <c r="Q7" s="41">
        <f t="shared" ref="Q7:Q18" si="7">IF(P7&gt;M7,M7,P7)</f>
        <v>429289.32000000007</v>
      </c>
      <c r="R7" s="62">
        <f t="shared" ref="R7:R18" si="8">IF(Q7&gt;D7,Q7-D7,0)</f>
        <v>117796.71000000008</v>
      </c>
      <c r="S7" s="62">
        <f t="shared" ref="S7:S18" si="9">IF(D7&lt;I7,I7-D7,0)</f>
        <v>21576.690000000061</v>
      </c>
    </row>
    <row r="8" spans="1:19" ht="31.5" x14ac:dyDescent="0.25">
      <c r="A8" s="89" t="s">
        <v>34</v>
      </c>
      <c r="B8" s="40" t="s">
        <v>30</v>
      </c>
      <c r="C8" s="40" t="s">
        <v>35</v>
      </c>
      <c r="D8" s="40">
        <v>258773.12</v>
      </c>
      <c r="E8" s="86">
        <v>1</v>
      </c>
      <c r="F8" s="57"/>
      <c r="G8" s="40">
        <f t="shared" si="2"/>
        <v>252365.6</v>
      </c>
      <c r="H8" s="40">
        <f t="shared" si="3"/>
        <v>283911.3</v>
      </c>
      <c r="I8" s="40">
        <v>283911.3</v>
      </c>
      <c r="J8" s="40">
        <v>315457</v>
      </c>
      <c r="K8" s="40">
        <f t="shared" si="4"/>
        <v>347002.69999999995</v>
      </c>
      <c r="L8" s="40">
        <v>347002.69999999995</v>
      </c>
      <c r="M8" s="40">
        <f t="shared" si="5"/>
        <v>378548.39999999997</v>
      </c>
      <c r="N8" s="52">
        <f t="shared" si="0"/>
        <v>0.82031186500854314</v>
      </c>
      <c r="O8" s="41">
        <f t="shared" si="1"/>
        <v>0</v>
      </c>
      <c r="P8" s="41">
        <f t="shared" si="6"/>
        <v>258674.74000000002</v>
      </c>
      <c r="Q8" s="41">
        <f t="shared" si="7"/>
        <v>258674.74000000002</v>
      </c>
      <c r="R8" s="62">
        <f t="shared" si="8"/>
        <v>0</v>
      </c>
      <c r="S8" s="62">
        <f t="shared" si="9"/>
        <v>25138.179999999993</v>
      </c>
    </row>
    <row r="9" spans="1:19" ht="31.5" x14ac:dyDescent="0.25">
      <c r="A9" s="89" t="s">
        <v>36</v>
      </c>
      <c r="B9" s="40" t="s">
        <v>150</v>
      </c>
      <c r="C9" s="89" t="s">
        <v>32</v>
      </c>
      <c r="D9" s="40">
        <v>247080.17499999999</v>
      </c>
      <c r="E9" s="86">
        <v>6</v>
      </c>
      <c r="F9" s="57"/>
      <c r="G9" s="40">
        <f t="shared" si="2"/>
        <v>203959.2</v>
      </c>
      <c r="H9" s="40">
        <f t="shared" si="3"/>
        <v>229454.1</v>
      </c>
      <c r="I9" s="40">
        <v>229454.1</v>
      </c>
      <c r="J9" s="40">
        <v>254949</v>
      </c>
      <c r="K9" s="40">
        <f t="shared" si="4"/>
        <v>280443.90000000002</v>
      </c>
      <c r="L9" s="40">
        <v>280443.90000000002</v>
      </c>
      <c r="M9" s="40">
        <f t="shared" si="5"/>
        <v>305938.8</v>
      </c>
      <c r="N9" s="52">
        <f t="shared" si="0"/>
        <v>0.96913568988307464</v>
      </c>
      <c r="O9" s="41">
        <f t="shared" si="1"/>
        <v>0</v>
      </c>
      <c r="P9" s="41">
        <f t="shared" si="6"/>
        <v>234553.08000000002</v>
      </c>
      <c r="Q9" s="41">
        <f t="shared" si="7"/>
        <v>234553.08000000002</v>
      </c>
      <c r="R9" s="62">
        <f t="shared" si="8"/>
        <v>0</v>
      </c>
      <c r="S9" s="62">
        <f t="shared" si="9"/>
        <v>0</v>
      </c>
    </row>
    <row r="10" spans="1:19" ht="47.25" x14ac:dyDescent="0.25">
      <c r="A10" s="89" t="s">
        <v>38</v>
      </c>
      <c r="B10" s="40" t="s">
        <v>144</v>
      </c>
      <c r="C10" s="40" t="s">
        <v>32</v>
      </c>
      <c r="D10" s="40">
        <v>188069.29</v>
      </c>
      <c r="E10" s="86">
        <v>1</v>
      </c>
      <c r="F10" s="57"/>
      <c r="G10" s="40">
        <f t="shared" si="2"/>
        <v>152402.4</v>
      </c>
      <c r="H10" s="40">
        <f t="shared" si="3"/>
        <v>171452.7</v>
      </c>
      <c r="I10" s="40">
        <v>171452.7</v>
      </c>
      <c r="J10" s="40">
        <v>190503</v>
      </c>
      <c r="K10" s="40">
        <f t="shared" si="4"/>
        <v>209553.3</v>
      </c>
      <c r="L10" s="40">
        <v>209553.3</v>
      </c>
      <c r="M10" s="40">
        <f t="shared" si="5"/>
        <v>228603.6</v>
      </c>
      <c r="N10" s="52">
        <f t="shared" si="0"/>
        <v>0.98722482060649963</v>
      </c>
      <c r="O10" s="41">
        <f t="shared" si="1"/>
        <v>0</v>
      </c>
      <c r="P10" s="41">
        <f t="shared" si="6"/>
        <v>156212.46</v>
      </c>
      <c r="Q10" s="41">
        <f t="shared" si="7"/>
        <v>156212.46</v>
      </c>
      <c r="R10" s="62">
        <f t="shared" si="8"/>
        <v>0</v>
      </c>
      <c r="S10" s="62">
        <f t="shared" si="9"/>
        <v>0</v>
      </c>
    </row>
    <row r="11" spans="1:19" ht="31.5" x14ac:dyDescent="0.25">
      <c r="A11" s="89" t="s">
        <v>39</v>
      </c>
      <c r="B11" s="40" t="s">
        <v>144</v>
      </c>
      <c r="C11" s="40" t="s">
        <v>32</v>
      </c>
      <c r="D11" s="40">
        <v>182228</v>
      </c>
      <c r="E11" s="86">
        <v>17</v>
      </c>
      <c r="F11" s="57"/>
      <c r="G11" s="40">
        <f t="shared" si="2"/>
        <v>148474.4</v>
      </c>
      <c r="H11" s="40">
        <f t="shared" si="3"/>
        <v>167033.70000000001</v>
      </c>
      <c r="I11" s="40">
        <v>167033.70000000001</v>
      </c>
      <c r="J11" s="40">
        <v>185593</v>
      </c>
      <c r="K11" s="40">
        <f t="shared" si="4"/>
        <v>204152.3</v>
      </c>
      <c r="L11" s="40">
        <v>204152.3</v>
      </c>
      <c r="M11" s="40">
        <f t="shared" si="5"/>
        <v>222711.6</v>
      </c>
      <c r="N11" s="52">
        <f t="shared" si="0"/>
        <v>0.98186892824621619</v>
      </c>
      <c r="O11" s="41">
        <f t="shared" si="1"/>
        <v>0</v>
      </c>
      <c r="P11" s="41">
        <f t="shared" si="6"/>
        <v>211576.02</v>
      </c>
      <c r="Q11" s="41">
        <f t="shared" si="7"/>
        <v>211576.02</v>
      </c>
      <c r="R11" s="62">
        <f t="shared" si="8"/>
        <v>29348.01999999999</v>
      </c>
      <c r="S11" s="62">
        <f t="shared" si="9"/>
        <v>0</v>
      </c>
    </row>
    <row r="12" spans="1:19" ht="31.5" x14ac:dyDescent="0.25">
      <c r="A12" s="89" t="s">
        <v>40</v>
      </c>
      <c r="B12" s="40" t="s">
        <v>144</v>
      </c>
      <c r="C12" s="40" t="s">
        <v>32</v>
      </c>
      <c r="D12" s="40">
        <v>147512.4</v>
      </c>
      <c r="E12" s="86">
        <v>7</v>
      </c>
      <c r="F12" s="57"/>
      <c r="G12" s="40">
        <f t="shared" si="2"/>
        <v>127453.6</v>
      </c>
      <c r="H12" s="40">
        <f t="shared" si="3"/>
        <v>143385.29999999999</v>
      </c>
      <c r="I12" s="40">
        <v>143385.29999999999</v>
      </c>
      <c r="J12" s="40">
        <v>159317</v>
      </c>
      <c r="K12" s="40">
        <f t="shared" si="4"/>
        <v>175248.7</v>
      </c>
      <c r="L12" s="40">
        <v>175248.7</v>
      </c>
      <c r="M12" s="40">
        <f t="shared" si="5"/>
        <v>191180.4</v>
      </c>
      <c r="N12" s="52">
        <f t="shared" si="0"/>
        <v>0.92590495678427287</v>
      </c>
      <c r="O12" s="41">
        <f t="shared" si="1"/>
        <v>0</v>
      </c>
      <c r="P12" s="41">
        <f t="shared" si="6"/>
        <v>149757.98000000001</v>
      </c>
      <c r="Q12" s="41">
        <f t="shared" si="7"/>
        <v>149757.98000000001</v>
      </c>
      <c r="R12" s="62">
        <f t="shared" si="8"/>
        <v>2245.5800000000163</v>
      </c>
      <c r="S12" s="62">
        <f t="shared" si="9"/>
        <v>0</v>
      </c>
    </row>
    <row r="13" spans="1:19" ht="47.25" x14ac:dyDescent="0.25">
      <c r="A13" s="89" t="s">
        <v>41</v>
      </c>
      <c r="B13" s="40" t="s">
        <v>37</v>
      </c>
      <c r="C13" s="89" t="s">
        <v>36</v>
      </c>
      <c r="D13" s="40">
        <v>125000</v>
      </c>
      <c r="E13" s="86">
        <v>1</v>
      </c>
      <c r="F13" s="57"/>
      <c r="G13" s="40">
        <f t="shared" si="2"/>
        <v>102180.8</v>
      </c>
      <c r="H13" s="40">
        <f t="shared" si="3"/>
        <v>114953.4</v>
      </c>
      <c r="I13" s="40">
        <v>114953.4</v>
      </c>
      <c r="J13" s="40">
        <v>127726</v>
      </c>
      <c r="K13" s="40">
        <f t="shared" si="4"/>
        <v>140498.59999999998</v>
      </c>
      <c r="L13" s="40">
        <v>140498.59999999998</v>
      </c>
      <c r="M13" s="40">
        <f t="shared" si="5"/>
        <v>153271.19999999998</v>
      </c>
      <c r="N13" s="52">
        <f t="shared" si="0"/>
        <v>0.97865743857945919</v>
      </c>
      <c r="O13" s="41">
        <f t="shared" si="1"/>
        <v>0</v>
      </c>
      <c r="P13" s="41">
        <f t="shared" si="6"/>
        <v>104735.32</v>
      </c>
      <c r="Q13" s="41">
        <f t="shared" si="7"/>
        <v>104735.32</v>
      </c>
      <c r="R13" s="62">
        <f t="shared" si="8"/>
        <v>0</v>
      </c>
      <c r="S13" s="62">
        <f t="shared" si="9"/>
        <v>0</v>
      </c>
    </row>
    <row r="14" spans="1:19" ht="63" x14ac:dyDescent="0.25">
      <c r="A14" s="89" t="s">
        <v>42</v>
      </c>
      <c r="B14" s="40" t="s">
        <v>43</v>
      </c>
      <c r="C14" s="89" t="s">
        <v>34</v>
      </c>
      <c r="D14" s="40">
        <v>112119.93</v>
      </c>
      <c r="E14" s="86">
        <v>5</v>
      </c>
      <c r="F14" s="57"/>
      <c r="G14" s="40">
        <f t="shared" si="2"/>
        <v>102151.20000000001</v>
      </c>
      <c r="H14" s="40">
        <f t="shared" si="3"/>
        <v>114920.1</v>
      </c>
      <c r="I14" s="40">
        <v>114920.1</v>
      </c>
      <c r="J14" s="40">
        <v>127689</v>
      </c>
      <c r="K14" s="40">
        <f t="shared" si="4"/>
        <v>140457.9</v>
      </c>
      <c r="L14" s="40">
        <v>140457.9</v>
      </c>
      <c r="M14" s="40">
        <f t="shared" si="5"/>
        <v>153226.79999999999</v>
      </c>
      <c r="N14" s="52">
        <f t="shared" si="0"/>
        <v>0.87807038977515672</v>
      </c>
      <c r="O14" s="41">
        <f t="shared" si="1"/>
        <v>0</v>
      </c>
      <c r="P14" s="41">
        <f t="shared" si="6"/>
        <v>114920.1</v>
      </c>
      <c r="Q14" s="41">
        <f t="shared" si="7"/>
        <v>114920.1</v>
      </c>
      <c r="R14" s="62">
        <f t="shared" si="8"/>
        <v>2800.1700000000128</v>
      </c>
      <c r="S14" s="62">
        <f t="shared" si="9"/>
        <v>2800.1700000000128</v>
      </c>
    </row>
    <row r="15" spans="1:19" ht="31.5" x14ac:dyDescent="0.25">
      <c r="A15" s="89" t="s">
        <v>44</v>
      </c>
      <c r="B15" s="40" t="s">
        <v>144</v>
      </c>
      <c r="C15" s="40" t="s">
        <v>32</v>
      </c>
      <c r="D15" s="40">
        <v>113770.8</v>
      </c>
      <c r="E15" s="86">
        <v>2</v>
      </c>
      <c r="F15" s="57"/>
      <c r="G15" s="40">
        <f t="shared" si="2"/>
        <v>95908</v>
      </c>
      <c r="H15" s="40">
        <f t="shared" si="3"/>
        <v>107896.5</v>
      </c>
      <c r="I15" s="40">
        <v>107896.5</v>
      </c>
      <c r="J15" s="40">
        <v>119885</v>
      </c>
      <c r="K15" s="40">
        <f t="shared" si="4"/>
        <v>131873.5</v>
      </c>
      <c r="L15" s="40">
        <v>131873.5</v>
      </c>
      <c r="M15" s="40">
        <f t="shared" si="5"/>
        <v>143862</v>
      </c>
      <c r="N15" s="52">
        <f t="shared" si="0"/>
        <v>0.94899945781373818</v>
      </c>
      <c r="O15" s="41">
        <f t="shared" si="1"/>
        <v>0</v>
      </c>
      <c r="P15" s="41">
        <f t="shared" si="6"/>
        <v>100703.4</v>
      </c>
      <c r="Q15" s="41">
        <f t="shared" si="7"/>
        <v>100703.4</v>
      </c>
      <c r="R15" s="62">
        <f t="shared" si="8"/>
        <v>0</v>
      </c>
      <c r="S15" s="62">
        <f t="shared" si="9"/>
        <v>0</v>
      </c>
    </row>
    <row r="16" spans="1:19" ht="31.5" x14ac:dyDescent="0.25">
      <c r="A16" s="100" t="s">
        <v>45</v>
      </c>
      <c r="B16" s="40" t="s">
        <v>144</v>
      </c>
      <c r="C16" s="40" t="s">
        <v>32</v>
      </c>
      <c r="D16" s="40">
        <v>97384</v>
      </c>
      <c r="E16" s="86">
        <v>4</v>
      </c>
      <c r="F16" s="57"/>
      <c r="G16" s="40">
        <f t="shared" si="2"/>
        <v>84108.800000000003</v>
      </c>
      <c r="H16" s="40">
        <f t="shared" si="3"/>
        <v>94622.399999999994</v>
      </c>
      <c r="I16" s="40">
        <v>94622.399999999994</v>
      </c>
      <c r="J16" s="40">
        <v>105136</v>
      </c>
      <c r="K16" s="40">
        <f t="shared" si="4"/>
        <v>115649.60000000001</v>
      </c>
      <c r="L16" s="40">
        <v>115649.60000000001</v>
      </c>
      <c r="M16" s="40">
        <f t="shared" si="5"/>
        <v>126163.2</v>
      </c>
      <c r="N16" s="52">
        <f t="shared" si="0"/>
        <v>0.92626693045198605</v>
      </c>
      <c r="O16" s="41">
        <f t="shared" si="1"/>
        <v>0</v>
      </c>
      <c r="P16" s="41">
        <f t="shared" si="6"/>
        <v>92519.680000000008</v>
      </c>
      <c r="Q16" s="41">
        <f t="shared" si="7"/>
        <v>92519.680000000008</v>
      </c>
      <c r="R16" s="62">
        <f t="shared" si="8"/>
        <v>0</v>
      </c>
      <c r="S16" s="62">
        <f t="shared" si="9"/>
        <v>0</v>
      </c>
    </row>
    <row r="17" spans="1:19" ht="63" x14ac:dyDescent="0.25">
      <c r="A17" s="89" t="s">
        <v>46</v>
      </c>
      <c r="B17" s="40" t="s">
        <v>43</v>
      </c>
      <c r="C17" s="89" t="s">
        <v>34</v>
      </c>
      <c r="D17" s="40">
        <v>83071.324999999997</v>
      </c>
      <c r="E17" s="86">
        <v>4.5</v>
      </c>
      <c r="F17" s="57"/>
      <c r="G17" s="40">
        <f t="shared" si="2"/>
        <v>70620.800000000003</v>
      </c>
      <c r="H17" s="40">
        <f t="shared" si="3"/>
        <v>79448.399999999994</v>
      </c>
      <c r="I17" s="40">
        <v>79448.399999999994</v>
      </c>
      <c r="J17" s="40">
        <v>88276</v>
      </c>
      <c r="K17" s="40">
        <f t="shared" si="4"/>
        <v>97103.6</v>
      </c>
      <c r="L17" s="40">
        <v>97103.6</v>
      </c>
      <c r="M17" s="40">
        <f t="shared" si="5"/>
        <v>105931.2</v>
      </c>
      <c r="N17" s="52">
        <f t="shared" si="0"/>
        <v>0.94104088313924505</v>
      </c>
      <c r="O17" s="41">
        <f t="shared" si="1"/>
        <v>0</v>
      </c>
      <c r="P17" s="41">
        <f t="shared" si="6"/>
        <v>78565.64</v>
      </c>
      <c r="Q17" s="41">
        <f t="shared" si="7"/>
        <v>78565.64</v>
      </c>
      <c r="R17" s="62">
        <f t="shared" si="8"/>
        <v>0</v>
      </c>
      <c r="S17" s="62">
        <f t="shared" si="9"/>
        <v>0</v>
      </c>
    </row>
    <row r="18" spans="1:19" ht="63" x14ac:dyDescent="0.25">
      <c r="A18" s="89" t="s">
        <v>47</v>
      </c>
      <c r="B18" s="40" t="s">
        <v>43</v>
      </c>
      <c r="C18" s="40" t="s">
        <v>34</v>
      </c>
      <c r="D18" s="40">
        <v>50750</v>
      </c>
      <c r="E18" s="86">
        <v>1</v>
      </c>
      <c r="F18" s="57"/>
      <c r="G18" s="40">
        <f t="shared" si="2"/>
        <v>42122.222222222226</v>
      </c>
      <c r="H18" s="40">
        <f t="shared" si="3"/>
        <v>47387.5</v>
      </c>
      <c r="I18" s="40">
        <v>47387.5</v>
      </c>
      <c r="J18" s="40">
        <v>52652.777777777781</v>
      </c>
      <c r="K18" s="40">
        <f t="shared" si="4"/>
        <v>57918.055555555562</v>
      </c>
      <c r="L18" s="40">
        <v>57918.055555555562</v>
      </c>
      <c r="M18" s="40">
        <f t="shared" si="5"/>
        <v>63183.333333333336</v>
      </c>
      <c r="N18" s="52">
        <f t="shared" si="0"/>
        <v>0.96386177789501448</v>
      </c>
      <c r="O18" s="41">
        <f t="shared" si="1"/>
        <v>0</v>
      </c>
      <c r="P18" s="41">
        <f t="shared" si="6"/>
        <v>43175.277777777781</v>
      </c>
      <c r="Q18" s="41">
        <f t="shared" si="7"/>
        <v>43175.277777777781</v>
      </c>
      <c r="R18" s="62">
        <f t="shared" si="8"/>
        <v>0</v>
      </c>
      <c r="S18" s="62">
        <f t="shared" si="9"/>
        <v>0</v>
      </c>
    </row>
    <row r="19" spans="1:19" ht="16.5" thickBot="1" x14ac:dyDescent="0.3">
      <c r="A19" s="69"/>
      <c r="B19" s="70"/>
      <c r="C19" s="70"/>
      <c r="D19" s="110">
        <f>SUM(D6:D18)</f>
        <v>2636599.4200000004</v>
      </c>
      <c r="E19" s="95"/>
      <c r="F19" s="95"/>
      <c r="G19" s="70"/>
      <c r="H19" s="70"/>
      <c r="I19" s="70"/>
      <c r="J19" s="70"/>
      <c r="K19" s="70"/>
      <c r="L19" s="70"/>
      <c r="M19" s="70"/>
      <c r="N19" s="72">
        <f>AVERAGE(N6:N18)</f>
        <v>0.93786299402984241</v>
      </c>
      <c r="O19" s="71">
        <f>SUM(O6:O18)</f>
        <v>0</v>
      </c>
      <c r="P19" s="96"/>
      <c r="Q19" s="105"/>
      <c r="R19" s="106">
        <f t="shared" ref="R19:S19" si="10">SUM(R6:R18)</f>
        <v>152190.4800000001</v>
      </c>
      <c r="S19" s="106">
        <f t="shared" si="10"/>
        <v>49515.040000000066</v>
      </c>
    </row>
    <row r="20" spans="1:19" ht="32.25" thickBot="1" x14ac:dyDescent="0.3">
      <c r="A20" s="36"/>
      <c r="D20" s="37"/>
      <c r="M20" s="47"/>
      <c r="Q20" s="107" t="s">
        <v>153</v>
      </c>
      <c r="R20" s="108">
        <f>(R19/D19)</f>
        <v>5.772226104790696E-2</v>
      </c>
      <c r="S20" s="109">
        <f>(S19/D19)</f>
        <v>1.87798873140919E-2</v>
      </c>
    </row>
    <row r="21" spans="1:19" x14ac:dyDescent="0.25">
      <c r="A21" s="36"/>
      <c r="D21" s="37"/>
      <c r="M21" s="47"/>
    </row>
    <row r="22" spans="1:19" x14ac:dyDescent="0.25">
      <c r="A22" s="36"/>
      <c r="D22" s="37"/>
      <c r="M22" s="47"/>
    </row>
    <row r="23" spans="1:19" x14ac:dyDescent="0.25">
      <c r="A23" s="36"/>
      <c r="D23" s="37"/>
      <c r="M23" s="47"/>
    </row>
    <row r="24" spans="1:19" x14ac:dyDescent="0.25">
      <c r="A24" s="36"/>
      <c r="D24" s="37"/>
      <c r="M24" s="47"/>
    </row>
    <row r="25" spans="1:19" x14ac:dyDescent="0.25">
      <c r="A25" s="36"/>
      <c r="D25" s="37"/>
      <c r="M25" s="47"/>
    </row>
    <row r="26" spans="1:19" x14ac:dyDescent="0.25">
      <c r="A26" s="36"/>
      <c r="D26" s="37"/>
      <c r="M26" s="47"/>
    </row>
    <row r="27" spans="1:19" x14ac:dyDescent="0.25">
      <c r="A27" s="36"/>
      <c r="D27" s="37"/>
      <c r="M27" s="47"/>
    </row>
    <row r="28" spans="1:19" x14ac:dyDescent="0.25">
      <c r="A28" s="36"/>
      <c r="D28" s="37"/>
      <c r="M28" s="47"/>
    </row>
    <row r="29" spans="1:19" x14ac:dyDescent="0.25">
      <c r="A29" s="36"/>
      <c r="D29" s="37"/>
      <c r="M29" s="47"/>
    </row>
    <row r="30" spans="1:19" x14ac:dyDescent="0.25">
      <c r="A30" s="36"/>
      <c r="D30" s="37"/>
      <c r="M30" s="47"/>
    </row>
    <row r="31" spans="1:19" x14ac:dyDescent="0.25">
      <c r="A31" s="36"/>
      <c r="D31" s="37"/>
      <c r="M31" s="47"/>
    </row>
    <row r="32" spans="1:19" x14ac:dyDescent="0.25">
      <c r="A32" s="36"/>
      <c r="D32" s="37"/>
      <c r="M32" s="47"/>
    </row>
    <row r="33" spans="1:13" x14ac:dyDescent="0.25">
      <c r="A33" s="36"/>
      <c r="D33" s="37"/>
      <c r="M33" s="47"/>
    </row>
  </sheetData>
  <mergeCells count="6">
    <mergeCell ref="B1:C1"/>
    <mergeCell ref="B2:C2"/>
    <mergeCell ref="G3:M3"/>
    <mergeCell ref="G5:H5"/>
    <mergeCell ref="I5:K5"/>
    <mergeCell ref="L5:M5"/>
  </mergeCells>
  <pageMargins left="0.7" right="0.7" top="0.75" bottom="0.75" header="0.3" footer="0.3"/>
  <pageSetup scale="4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2CE94-AE10-44E1-9E4F-347C9E9616A3}">
  <sheetPr>
    <pageSetUpPr fitToPage="1"/>
  </sheetPr>
  <dimension ref="A1:G17"/>
  <sheetViews>
    <sheetView zoomScale="96" zoomScaleNormal="96" workbookViewId="0">
      <selection activeCell="C20" sqref="C20"/>
    </sheetView>
  </sheetViews>
  <sheetFormatPr defaultRowHeight="15" x14ac:dyDescent="0.25"/>
  <cols>
    <col min="1" max="1" width="41.85546875" customWidth="1"/>
    <col min="2" max="3" width="16.42578125" customWidth="1"/>
    <col min="4" max="4" width="15.140625" customWidth="1"/>
    <col min="5" max="5" width="16.140625" customWidth="1"/>
    <col min="6" max="6" width="14.5703125" customWidth="1"/>
    <col min="7" max="7" width="16.42578125" customWidth="1"/>
  </cols>
  <sheetData>
    <row r="1" spans="1:7" x14ac:dyDescent="0.25">
      <c r="A1" s="165" t="s">
        <v>162</v>
      </c>
      <c r="B1" s="166"/>
      <c r="C1" s="166"/>
      <c r="D1" s="166"/>
      <c r="E1" s="166"/>
      <c r="F1" s="166"/>
      <c r="G1" s="167"/>
    </row>
    <row r="2" spans="1:7" ht="30" x14ac:dyDescent="0.25">
      <c r="A2" s="136" t="s">
        <v>64</v>
      </c>
      <c r="B2" s="131" t="s">
        <v>65</v>
      </c>
      <c r="C2" s="131" t="s">
        <v>66</v>
      </c>
      <c r="D2" s="131" t="s">
        <v>65</v>
      </c>
      <c r="E2" s="132"/>
      <c r="F2" s="132"/>
      <c r="G2" s="137"/>
    </row>
    <row r="3" spans="1:7" x14ac:dyDescent="0.25">
      <c r="A3" s="82" t="s">
        <v>161</v>
      </c>
      <c r="B3" s="83">
        <v>0.03</v>
      </c>
      <c r="C3" s="84">
        <v>311493</v>
      </c>
      <c r="D3" s="133">
        <f>(B3*C3)</f>
        <v>9344.7899999999991</v>
      </c>
      <c r="E3" s="132"/>
      <c r="F3" s="132"/>
      <c r="G3" s="137"/>
    </row>
    <row r="4" spans="1:7" x14ac:dyDescent="0.25">
      <c r="A4" s="168" t="s">
        <v>67</v>
      </c>
      <c r="B4" s="169"/>
      <c r="C4" s="169"/>
      <c r="D4" s="169"/>
      <c r="E4" s="170"/>
      <c r="F4" s="170"/>
      <c r="G4" s="171"/>
    </row>
    <row r="5" spans="1:7" ht="60" x14ac:dyDescent="0.25">
      <c r="A5" s="77" t="s">
        <v>68</v>
      </c>
      <c r="B5" s="78" t="s">
        <v>69</v>
      </c>
      <c r="C5" s="119" t="s">
        <v>157</v>
      </c>
      <c r="D5" s="119" t="s">
        <v>156</v>
      </c>
      <c r="E5" s="119" t="s">
        <v>70</v>
      </c>
      <c r="F5" s="119" t="s">
        <v>155</v>
      </c>
      <c r="G5" s="124" t="s">
        <v>154</v>
      </c>
    </row>
    <row r="6" spans="1:7" x14ac:dyDescent="0.25">
      <c r="A6" s="138"/>
      <c r="B6" s="134" t="s">
        <v>160</v>
      </c>
      <c r="C6" s="120">
        <v>0.6</v>
      </c>
      <c r="D6" s="120">
        <v>0.7</v>
      </c>
      <c r="E6" s="121">
        <v>0.8</v>
      </c>
      <c r="F6" s="120">
        <v>0.9</v>
      </c>
      <c r="G6" s="125">
        <v>1</v>
      </c>
    </row>
    <row r="7" spans="1:7" x14ac:dyDescent="0.25">
      <c r="A7" s="138"/>
      <c r="B7" s="135" t="s">
        <v>159</v>
      </c>
      <c r="C7" s="122"/>
      <c r="D7" s="122"/>
      <c r="E7" s="123"/>
      <c r="F7" s="122"/>
      <c r="G7" s="126"/>
    </row>
    <row r="8" spans="1:7" ht="24.95" customHeight="1" x14ac:dyDescent="0.25">
      <c r="A8" s="79" t="s">
        <v>71</v>
      </c>
      <c r="B8" s="118">
        <v>0.15</v>
      </c>
      <c r="C8" s="128">
        <f>($D$3*C$6)*$B8</f>
        <v>841.03109999999981</v>
      </c>
      <c r="D8" s="128">
        <f t="shared" ref="D8:G16" si="0">($D$3*D$6)*$B8</f>
        <v>981.20294999999987</v>
      </c>
      <c r="E8" s="128">
        <f t="shared" si="0"/>
        <v>1121.3747999999998</v>
      </c>
      <c r="F8" s="128">
        <f t="shared" si="0"/>
        <v>1261.54665</v>
      </c>
      <c r="G8" s="129">
        <f t="shared" si="0"/>
        <v>1401.7184999999997</v>
      </c>
    </row>
    <row r="9" spans="1:7" ht="24.95" customHeight="1" x14ac:dyDescent="0.25">
      <c r="A9" s="79" t="s">
        <v>72</v>
      </c>
      <c r="B9" s="118">
        <v>0.15</v>
      </c>
      <c r="C9" s="128">
        <f t="shared" ref="C9:C16" si="1">($D$3*C$6)*$B9</f>
        <v>841.03109999999981</v>
      </c>
      <c r="D9" s="128">
        <f t="shared" si="0"/>
        <v>981.20294999999987</v>
      </c>
      <c r="E9" s="128">
        <f t="shared" si="0"/>
        <v>1121.3747999999998</v>
      </c>
      <c r="F9" s="128">
        <f t="shared" si="0"/>
        <v>1261.54665</v>
      </c>
      <c r="G9" s="129">
        <f t="shared" si="0"/>
        <v>1401.7184999999997</v>
      </c>
    </row>
    <row r="10" spans="1:7" ht="24.95" customHeight="1" x14ac:dyDescent="0.25">
      <c r="A10" s="79" t="s">
        <v>73</v>
      </c>
      <c r="B10" s="118">
        <v>0.2</v>
      </c>
      <c r="C10" s="128">
        <f t="shared" si="1"/>
        <v>1121.3747999999998</v>
      </c>
      <c r="D10" s="128">
        <f t="shared" si="0"/>
        <v>1308.2705999999998</v>
      </c>
      <c r="E10" s="128">
        <f t="shared" si="0"/>
        <v>1495.1664000000001</v>
      </c>
      <c r="F10" s="128">
        <f t="shared" si="0"/>
        <v>1682.0622000000001</v>
      </c>
      <c r="G10" s="129">
        <f t="shared" si="0"/>
        <v>1868.9579999999999</v>
      </c>
    </row>
    <row r="11" spans="1:7" ht="24.95" customHeight="1" x14ac:dyDescent="0.25">
      <c r="A11" s="79" t="s">
        <v>74</v>
      </c>
      <c r="B11" s="118">
        <v>0.15</v>
      </c>
      <c r="C11" s="128">
        <f t="shared" si="1"/>
        <v>841.03109999999981</v>
      </c>
      <c r="D11" s="128">
        <f t="shared" si="0"/>
        <v>981.20294999999987</v>
      </c>
      <c r="E11" s="128">
        <f t="shared" si="0"/>
        <v>1121.3747999999998</v>
      </c>
      <c r="F11" s="128">
        <f t="shared" si="0"/>
        <v>1261.54665</v>
      </c>
      <c r="G11" s="129">
        <f t="shared" si="0"/>
        <v>1401.7184999999997</v>
      </c>
    </row>
    <row r="12" spans="1:7" ht="24.95" customHeight="1" x14ac:dyDescent="0.25">
      <c r="A12" s="79" t="s">
        <v>75</v>
      </c>
      <c r="B12" s="118">
        <v>0.05</v>
      </c>
      <c r="C12" s="128">
        <f t="shared" si="1"/>
        <v>280.34369999999996</v>
      </c>
      <c r="D12" s="128">
        <f t="shared" si="0"/>
        <v>327.06764999999996</v>
      </c>
      <c r="E12" s="128">
        <f t="shared" si="0"/>
        <v>373.79160000000002</v>
      </c>
      <c r="F12" s="128">
        <f t="shared" si="0"/>
        <v>420.51555000000002</v>
      </c>
      <c r="G12" s="129">
        <f t="shared" si="0"/>
        <v>467.23949999999996</v>
      </c>
    </row>
    <row r="13" spans="1:7" ht="24.95" customHeight="1" x14ac:dyDescent="0.25">
      <c r="A13" s="79" t="s">
        <v>76</v>
      </c>
      <c r="B13" s="118">
        <v>0.15</v>
      </c>
      <c r="C13" s="128">
        <f t="shared" si="1"/>
        <v>841.03109999999981</v>
      </c>
      <c r="D13" s="128">
        <f t="shared" si="0"/>
        <v>981.20294999999987</v>
      </c>
      <c r="E13" s="128">
        <f t="shared" si="0"/>
        <v>1121.3747999999998</v>
      </c>
      <c r="F13" s="128">
        <f t="shared" si="0"/>
        <v>1261.54665</v>
      </c>
      <c r="G13" s="129">
        <f t="shared" si="0"/>
        <v>1401.7184999999997</v>
      </c>
    </row>
    <row r="14" spans="1:7" ht="24.95" customHeight="1" x14ac:dyDescent="0.25">
      <c r="A14" s="79" t="s">
        <v>77</v>
      </c>
      <c r="B14" s="118">
        <v>0.05</v>
      </c>
      <c r="C14" s="128">
        <f t="shared" si="1"/>
        <v>280.34369999999996</v>
      </c>
      <c r="D14" s="128">
        <f t="shared" si="0"/>
        <v>327.06764999999996</v>
      </c>
      <c r="E14" s="128">
        <f t="shared" si="0"/>
        <v>373.79160000000002</v>
      </c>
      <c r="F14" s="128">
        <f t="shared" si="0"/>
        <v>420.51555000000002</v>
      </c>
      <c r="G14" s="129">
        <f t="shared" si="0"/>
        <v>467.23949999999996</v>
      </c>
    </row>
    <row r="15" spans="1:7" ht="24.95" customHeight="1" x14ac:dyDescent="0.25">
      <c r="A15" s="79" t="s">
        <v>78</v>
      </c>
      <c r="B15" s="118">
        <v>0.05</v>
      </c>
      <c r="C15" s="128">
        <f t="shared" si="1"/>
        <v>280.34369999999996</v>
      </c>
      <c r="D15" s="128">
        <f t="shared" si="0"/>
        <v>327.06764999999996</v>
      </c>
      <c r="E15" s="128">
        <f t="shared" si="0"/>
        <v>373.79160000000002</v>
      </c>
      <c r="F15" s="128">
        <f t="shared" si="0"/>
        <v>420.51555000000002</v>
      </c>
      <c r="G15" s="129">
        <f t="shared" si="0"/>
        <v>467.23949999999996</v>
      </c>
    </row>
    <row r="16" spans="1:7" ht="24.95" customHeight="1" x14ac:dyDescent="0.25">
      <c r="A16" s="79" t="s">
        <v>79</v>
      </c>
      <c r="B16" s="118">
        <v>0.05</v>
      </c>
      <c r="C16" s="128">
        <f t="shared" si="1"/>
        <v>280.34369999999996</v>
      </c>
      <c r="D16" s="128">
        <f t="shared" si="0"/>
        <v>327.06764999999996</v>
      </c>
      <c r="E16" s="128">
        <f t="shared" si="0"/>
        <v>373.79160000000002</v>
      </c>
      <c r="F16" s="128">
        <f t="shared" si="0"/>
        <v>420.51555000000002</v>
      </c>
      <c r="G16" s="129">
        <f t="shared" si="0"/>
        <v>467.23949999999996</v>
      </c>
    </row>
    <row r="17" spans="1:7" ht="24.95" customHeight="1" thickBot="1" x14ac:dyDescent="0.3">
      <c r="A17" s="80" t="s">
        <v>80</v>
      </c>
      <c r="B17" s="81">
        <f>SUM(B8:B16)</f>
        <v>1.0000000000000002</v>
      </c>
      <c r="C17" s="127">
        <f>SUM(C8:C16)</f>
        <v>5606.8739999999998</v>
      </c>
      <c r="D17" s="127">
        <f t="shared" ref="D17:G17" si="2">SUM(D8:D16)</f>
        <v>6541.3529999999992</v>
      </c>
      <c r="E17" s="127">
        <f t="shared" si="2"/>
        <v>7475.8320000000003</v>
      </c>
      <c r="F17" s="127">
        <f t="shared" si="2"/>
        <v>8410.3109999999997</v>
      </c>
      <c r="G17" s="130">
        <f t="shared" si="2"/>
        <v>9344.7899999999991</v>
      </c>
    </row>
  </sheetData>
  <mergeCells count="2">
    <mergeCell ref="A1:G1"/>
    <mergeCell ref="A4:G4"/>
  </mergeCells>
  <pageMargins left="0.7" right="0.7" top="0.75" bottom="0.75" header="0.3" footer="0.3"/>
  <pageSetup scale="8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B4732-BE9F-4F43-A60A-69AF4E368C20}">
  <dimension ref="A1:F17"/>
  <sheetViews>
    <sheetView workbookViewId="0">
      <selection activeCell="D10" sqref="D10"/>
    </sheetView>
  </sheetViews>
  <sheetFormatPr defaultRowHeight="15" x14ac:dyDescent="0.25"/>
  <cols>
    <col min="1" max="1" width="41.85546875" customWidth="1"/>
    <col min="2" max="3" width="16.42578125" customWidth="1"/>
    <col min="4" max="4" width="15.140625" customWidth="1"/>
    <col min="5" max="5" width="16.140625" customWidth="1"/>
    <col min="6" max="6" width="14.5703125" customWidth="1"/>
  </cols>
  <sheetData>
    <row r="1" spans="1:6" x14ac:dyDescent="0.25">
      <c r="A1" s="165" t="s">
        <v>162</v>
      </c>
      <c r="B1" s="166"/>
      <c r="C1" s="166"/>
      <c r="D1" s="166"/>
      <c r="E1" s="166"/>
      <c r="F1" s="167"/>
    </row>
    <row r="2" spans="1:6" ht="30" x14ac:dyDescent="0.25">
      <c r="A2" s="136" t="s">
        <v>64</v>
      </c>
      <c r="B2" s="131" t="s">
        <v>65</v>
      </c>
      <c r="C2" s="131" t="s">
        <v>66</v>
      </c>
      <c r="D2" s="131" t="s">
        <v>65</v>
      </c>
      <c r="E2" s="132"/>
      <c r="F2" s="137"/>
    </row>
    <row r="3" spans="1:6" x14ac:dyDescent="0.25">
      <c r="A3" s="82" t="s">
        <v>161</v>
      </c>
      <c r="B3" s="83">
        <v>0.03</v>
      </c>
      <c r="C3" s="84">
        <v>311493</v>
      </c>
      <c r="D3" s="133">
        <f>(B3*C3)</f>
        <v>9344.7899999999991</v>
      </c>
      <c r="E3" s="132"/>
      <c r="F3" s="137"/>
    </row>
    <row r="4" spans="1:6" x14ac:dyDescent="0.25">
      <c r="A4" s="168" t="s">
        <v>67</v>
      </c>
      <c r="B4" s="169"/>
      <c r="C4" s="169"/>
      <c r="D4" s="169"/>
      <c r="E4" s="170"/>
      <c r="F4" s="171"/>
    </row>
    <row r="5" spans="1:6" ht="30" x14ac:dyDescent="0.25">
      <c r="A5" s="77" t="s">
        <v>68</v>
      </c>
      <c r="B5" s="78" t="s">
        <v>69</v>
      </c>
      <c r="C5" s="119" t="s">
        <v>163</v>
      </c>
      <c r="D5" s="119" t="s">
        <v>164</v>
      </c>
      <c r="E5" s="119" t="s">
        <v>61</v>
      </c>
      <c r="F5" s="124" t="s">
        <v>165</v>
      </c>
    </row>
    <row r="6" spans="1:6" x14ac:dyDescent="0.25">
      <c r="A6" s="138"/>
      <c r="B6" s="134" t="s">
        <v>160</v>
      </c>
      <c r="C6" s="120">
        <v>0</v>
      </c>
      <c r="D6" s="120">
        <v>0.5</v>
      </c>
      <c r="E6" s="121">
        <v>1</v>
      </c>
      <c r="F6" s="125">
        <v>1.5</v>
      </c>
    </row>
    <row r="7" spans="1:6" x14ac:dyDescent="0.25">
      <c r="A7" s="138"/>
      <c r="B7" s="135" t="s">
        <v>159</v>
      </c>
      <c r="C7" s="122"/>
      <c r="D7" s="122"/>
      <c r="E7" s="123"/>
      <c r="F7" s="126"/>
    </row>
    <row r="8" spans="1:6" ht="24.95" customHeight="1" x14ac:dyDescent="0.25">
      <c r="A8" s="79" t="s">
        <v>71</v>
      </c>
      <c r="B8" s="118">
        <v>0.15</v>
      </c>
      <c r="C8" s="128">
        <f>($D$3*C$6)*$B8</f>
        <v>0</v>
      </c>
      <c r="D8" s="128">
        <f t="shared" ref="D8:F16" si="0">($D$3*D$6)*$B8</f>
        <v>700.85924999999986</v>
      </c>
      <c r="E8" s="128">
        <f t="shared" si="0"/>
        <v>1401.7184999999997</v>
      </c>
      <c r="F8" s="129">
        <f t="shared" si="0"/>
        <v>2102.5777499999995</v>
      </c>
    </row>
    <row r="9" spans="1:6" ht="24.95" customHeight="1" x14ac:dyDescent="0.25">
      <c r="A9" s="79" t="s">
        <v>72</v>
      </c>
      <c r="B9" s="118">
        <v>0.15</v>
      </c>
      <c r="C9" s="128">
        <f t="shared" ref="C9:C16" si="1">($D$3*C$6)*$B9</f>
        <v>0</v>
      </c>
      <c r="D9" s="128">
        <f t="shared" si="0"/>
        <v>700.85924999999986</v>
      </c>
      <c r="E9" s="128">
        <f t="shared" si="0"/>
        <v>1401.7184999999997</v>
      </c>
      <c r="F9" s="129">
        <f t="shared" si="0"/>
        <v>2102.5777499999995</v>
      </c>
    </row>
    <row r="10" spans="1:6" ht="24.95" customHeight="1" x14ac:dyDescent="0.25">
      <c r="A10" s="79" t="s">
        <v>73</v>
      </c>
      <c r="B10" s="118">
        <v>0.2</v>
      </c>
      <c r="C10" s="128">
        <f t="shared" si="1"/>
        <v>0</v>
      </c>
      <c r="D10" s="128">
        <f t="shared" si="0"/>
        <v>934.47899999999993</v>
      </c>
      <c r="E10" s="128">
        <f t="shared" si="0"/>
        <v>1868.9579999999999</v>
      </c>
      <c r="F10" s="129">
        <f t="shared" si="0"/>
        <v>2803.4369999999999</v>
      </c>
    </row>
    <row r="11" spans="1:6" ht="24.95" customHeight="1" x14ac:dyDescent="0.25">
      <c r="A11" s="79" t="s">
        <v>74</v>
      </c>
      <c r="B11" s="118">
        <v>0.15</v>
      </c>
      <c r="C11" s="128">
        <f t="shared" si="1"/>
        <v>0</v>
      </c>
      <c r="D11" s="128">
        <f t="shared" si="0"/>
        <v>700.85924999999986</v>
      </c>
      <c r="E11" s="128">
        <f t="shared" si="0"/>
        <v>1401.7184999999997</v>
      </c>
      <c r="F11" s="129">
        <f t="shared" si="0"/>
        <v>2102.5777499999995</v>
      </c>
    </row>
    <row r="12" spans="1:6" ht="24.95" customHeight="1" x14ac:dyDescent="0.25">
      <c r="A12" s="79" t="s">
        <v>75</v>
      </c>
      <c r="B12" s="118">
        <v>0.05</v>
      </c>
      <c r="C12" s="128">
        <f t="shared" si="1"/>
        <v>0</v>
      </c>
      <c r="D12" s="128">
        <f t="shared" si="0"/>
        <v>233.61974999999998</v>
      </c>
      <c r="E12" s="128">
        <f t="shared" si="0"/>
        <v>467.23949999999996</v>
      </c>
      <c r="F12" s="129">
        <f t="shared" si="0"/>
        <v>700.85924999999997</v>
      </c>
    </row>
    <row r="13" spans="1:6" ht="24.95" customHeight="1" x14ac:dyDescent="0.25">
      <c r="A13" s="79" t="s">
        <v>76</v>
      </c>
      <c r="B13" s="118">
        <v>0.15</v>
      </c>
      <c r="C13" s="128">
        <f t="shared" si="1"/>
        <v>0</v>
      </c>
      <c r="D13" s="128">
        <f t="shared" si="0"/>
        <v>700.85924999999986</v>
      </c>
      <c r="E13" s="128">
        <f t="shared" si="0"/>
        <v>1401.7184999999997</v>
      </c>
      <c r="F13" s="129">
        <f t="shared" si="0"/>
        <v>2102.5777499999995</v>
      </c>
    </row>
    <row r="14" spans="1:6" ht="24.95" customHeight="1" x14ac:dyDescent="0.25">
      <c r="A14" s="79" t="s">
        <v>77</v>
      </c>
      <c r="B14" s="118">
        <v>0.05</v>
      </c>
      <c r="C14" s="128">
        <f t="shared" si="1"/>
        <v>0</v>
      </c>
      <c r="D14" s="128">
        <f t="shared" si="0"/>
        <v>233.61974999999998</v>
      </c>
      <c r="E14" s="128">
        <f t="shared" si="0"/>
        <v>467.23949999999996</v>
      </c>
      <c r="F14" s="129">
        <f t="shared" si="0"/>
        <v>700.85924999999997</v>
      </c>
    </row>
    <row r="15" spans="1:6" ht="24.95" customHeight="1" x14ac:dyDescent="0.25">
      <c r="A15" s="79" t="s">
        <v>78</v>
      </c>
      <c r="B15" s="118">
        <v>0.05</v>
      </c>
      <c r="C15" s="128">
        <f t="shared" si="1"/>
        <v>0</v>
      </c>
      <c r="D15" s="128">
        <f t="shared" si="0"/>
        <v>233.61974999999998</v>
      </c>
      <c r="E15" s="128">
        <f t="shared" si="0"/>
        <v>467.23949999999996</v>
      </c>
      <c r="F15" s="129">
        <f t="shared" si="0"/>
        <v>700.85924999999997</v>
      </c>
    </row>
    <row r="16" spans="1:6" ht="24.95" customHeight="1" x14ac:dyDescent="0.25">
      <c r="A16" s="79" t="s">
        <v>79</v>
      </c>
      <c r="B16" s="118">
        <v>0.05</v>
      </c>
      <c r="C16" s="128">
        <f t="shared" si="1"/>
        <v>0</v>
      </c>
      <c r="D16" s="128">
        <f t="shared" si="0"/>
        <v>233.61974999999998</v>
      </c>
      <c r="E16" s="128">
        <f t="shared" si="0"/>
        <v>467.23949999999996</v>
      </c>
      <c r="F16" s="129">
        <f t="shared" si="0"/>
        <v>700.85924999999997</v>
      </c>
    </row>
    <row r="17" spans="1:6" ht="24.95" customHeight="1" thickBot="1" x14ac:dyDescent="0.3">
      <c r="A17" s="80" t="s">
        <v>80</v>
      </c>
      <c r="B17" s="81">
        <f>SUM(B8:B16)</f>
        <v>1.0000000000000002</v>
      </c>
      <c r="C17" s="127">
        <f>SUM(C8:C16)</f>
        <v>0</v>
      </c>
      <c r="D17" s="127">
        <f t="shared" ref="D17:F17" si="2">SUM(D8:D16)</f>
        <v>4672.3949999999995</v>
      </c>
      <c r="E17" s="127">
        <f t="shared" si="2"/>
        <v>9344.7899999999991</v>
      </c>
      <c r="F17" s="139">
        <f t="shared" si="2"/>
        <v>14017.184999999996</v>
      </c>
    </row>
  </sheetData>
  <mergeCells count="2">
    <mergeCell ref="A1:F1"/>
    <mergeCell ref="A4:F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55763-2831-4E83-AF04-6F453E158A5E}">
  <dimension ref="A1:AC52"/>
  <sheetViews>
    <sheetView workbookViewId="0">
      <selection activeCell="R55" sqref="R55"/>
    </sheetView>
  </sheetViews>
  <sheetFormatPr defaultColWidth="8.85546875" defaultRowHeight="15" x14ac:dyDescent="0.25"/>
  <cols>
    <col min="1" max="1" width="32.7109375" customWidth="1"/>
    <col min="2" max="2" width="0.42578125" style="1" customWidth="1"/>
    <col min="3" max="3" width="9.42578125" style="25" bestFit="1" customWidth="1"/>
    <col min="4" max="4" width="8.42578125" bestFit="1" customWidth="1"/>
    <col min="5" max="6" width="9.28515625" bestFit="1" customWidth="1"/>
    <col min="7" max="7" width="1.42578125" customWidth="1"/>
    <col min="8" max="10" width="8.42578125" bestFit="1" customWidth="1"/>
    <col min="11" max="11" width="1.7109375" bestFit="1" customWidth="1"/>
    <col min="12" max="14" width="8.42578125" bestFit="1" customWidth="1"/>
    <col min="15" max="15" width="1.7109375" bestFit="1" customWidth="1"/>
    <col min="16" max="18" width="8.42578125" bestFit="1" customWidth="1"/>
    <col min="19" max="19" width="1.7109375" bestFit="1" customWidth="1"/>
    <col min="20" max="22" width="8.42578125" bestFit="1" customWidth="1"/>
    <col min="23" max="23" width="1.7109375" bestFit="1" customWidth="1"/>
    <col min="24" max="24" width="8.42578125" bestFit="1" customWidth="1"/>
    <col min="25" max="25" width="8.42578125" customWidth="1"/>
    <col min="26" max="26" width="8.42578125" bestFit="1" customWidth="1"/>
    <col min="28" max="28" width="10" bestFit="1" customWidth="1"/>
  </cols>
  <sheetData>
    <row r="1" spans="1:29" ht="15.75" x14ac:dyDescent="0.25">
      <c r="A1" s="11" t="s">
        <v>81</v>
      </c>
      <c r="B1" s="12"/>
      <c r="C1" s="12"/>
      <c r="D1" s="173" t="s">
        <v>82</v>
      </c>
      <c r="E1" s="173"/>
      <c r="F1" s="173"/>
      <c r="G1" s="8"/>
      <c r="H1" s="173" t="s">
        <v>83</v>
      </c>
      <c r="I1" s="173"/>
      <c r="J1" s="173"/>
      <c r="K1" s="8"/>
      <c r="L1" s="173" t="s">
        <v>84</v>
      </c>
      <c r="M1" s="173"/>
      <c r="N1" s="173"/>
      <c r="O1" s="8"/>
      <c r="P1" s="173" t="s">
        <v>85</v>
      </c>
      <c r="Q1" s="173"/>
      <c r="R1" s="173"/>
      <c r="S1" s="8"/>
      <c r="T1" s="173" t="s">
        <v>86</v>
      </c>
      <c r="U1" s="173"/>
      <c r="V1" s="173"/>
      <c r="W1" s="8"/>
      <c r="X1" s="173" t="s">
        <v>87</v>
      </c>
      <c r="Y1" s="173"/>
      <c r="Z1" s="173"/>
      <c r="AB1" s="19"/>
      <c r="AC1" s="19"/>
    </row>
    <row r="2" spans="1:29" ht="50.25" customHeight="1" x14ac:dyDescent="0.25">
      <c r="A2" s="3" t="s">
        <v>20</v>
      </c>
      <c r="B2" s="14"/>
      <c r="C2" s="21" t="s">
        <v>88</v>
      </c>
      <c r="D2" s="174" t="s">
        <v>89</v>
      </c>
      <c r="E2" s="174"/>
      <c r="F2" s="174"/>
      <c r="G2" s="8"/>
      <c r="H2" s="174" t="s">
        <v>89</v>
      </c>
      <c r="I2" s="174"/>
      <c r="J2" s="174"/>
      <c r="K2" s="8"/>
      <c r="L2" s="174" t="s">
        <v>89</v>
      </c>
      <c r="M2" s="174"/>
      <c r="N2" s="174"/>
      <c r="O2" s="8"/>
      <c r="P2" s="174" t="s">
        <v>89</v>
      </c>
      <c r="Q2" s="174"/>
      <c r="R2" s="174"/>
      <c r="S2" s="8"/>
      <c r="T2" s="174" t="s">
        <v>89</v>
      </c>
      <c r="U2" s="174"/>
      <c r="V2" s="174"/>
      <c r="W2" s="8"/>
      <c r="X2" s="174" t="s">
        <v>89</v>
      </c>
      <c r="Y2" s="174"/>
      <c r="Z2" s="174"/>
      <c r="AB2" s="19" t="s">
        <v>90</v>
      </c>
      <c r="AC2" s="19"/>
    </row>
    <row r="3" spans="1:29" x14ac:dyDescent="0.25">
      <c r="A3" s="3"/>
      <c r="B3" s="15"/>
      <c r="C3" s="22"/>
      <c r="D3" s="9" t="s">
        <v>91</v>
      </c>
      <c r="E3" s="9" t="s">
        <v>92</v>
      </c>
      <c r="F3" s="9" t="s">
        <v>93</v>
      </c>
      <c r="G3" s="8"/>
      <c r="H3" s="9" t="s">
        <v>91</v>
      </c>
      <c r="I3" s="9" t="s">
        <v>92</v>
      </c>
      <c r="J3" s="9" t="s">
        <v>93</v>
      </c>
      <c r="K3" s="8"/>
      <c r="L3" s="9" t="s">
        <v>91</v>
      </c>
      <c r="M3" s="9" t="s">
        <v>92</v>
      </c>
      <c r="N3" s="9" t="s">
        <v>93</v>
      </c>
      <c r="O3" s="8"/>
      <c r="P3" s="9" t="s">
        <v>91</v>
      </c>
      <c r="Q3" s="9" t="s">
        <v>92</v>
      </c>
      <c r="R3" s="9" t="s">
        <v>93</v>
      </c>
      <c r="S3" s="8"/>
      <c r="T3" s="9" t="s">
        <v>91</v>
      </c>
      <c r="U3" s="9" t="s">
        <v>92</v>
      </c>
      <c r="V3" s="9" t="s">
        <v>93</v>
      </c>
      <c r="W3" s="8"/>
      <c r="X3" s="9" t="s">
        <v>91</v>
      </c>
      <c r="Y3" s="9" t="s">
        <v>92</v>
      </c>
      <c r="Z3" s="9" t="s">
        <v>93</v>
      </c>
    </row>
    <row r="4" spans="1:29" x14ac:dyDescent="0.25">
      <c r="A4" s="6" t="s">
        <v>94</v>
      </c>
      <c r="B4" s="16"/>
      <c r="C4" s="26">
        <v>5</v>
      </c>
      <c r="D4" s="4">
        <f t="shared" ref="D4:D12" si="0">E4*0.8</f>
        <v>82685.401904357146</v>
      </c>
      <c r="E4" s="4">
        <v>103356.75238044643</v>
      </c>
      <c r="F4" s="4">
        <f t="shared" ref="F4:F12" si="1">E4*1.2</f>
        <v>124028.10285653571</v>
      </c>
      <c r="G4" s="5"/>
      <c r="H4" s="4">
        <f>I4*0.8</f>
        <v>59946.916380658935</v>
      </c>
      <c r="I4" s="4">
        <f>E4*0.725</f>
        <v>74933.645475823665</v>
      </c>
      <c r="J4" s="4">
        <f>I4*1.2</f>
        <v>89920.374570988395</v>
      </c>
      <c r="K4" s="4"/>
      <c r="L4" s="4">
        <f>M4*0.8</f>
        <v>66313.692327294426</v>
      </c>
      <c r="M4" s="4">
        <f>E4*0.802</f>
        <v>82892.115409118036</v>
      </c>
      <c r="N4" s="4">
        <f>M4*1.2</f>
        <v>99470.538490941646</v>
      </c>
      <c r="O4" s="4"/>
      <c r="P4" s="4">
        <f>Q4*0.8</f>
        <v>72349.726666312505</v>
      </c>
      <c r="Q4" s="4">
        <f>E4*0.875</f>
        <v>90437.158332890627</v>
      </c>
      <c r="R4" s="4">
        <f>Q4*1.2</f>
        <v>108524.58999946875</v>
      </c>
      <c r="S4" s="4"/>
      <c r="T4" s="4">
        <f>U4*0.8</f>
        <v>76897.423771052141</v>
      </c>
      <c r="U4" s="4">
        <f>E4*0.93</f>
        <v>96121.77971381518</v>
      </c>
      <c r="V4" s="4">
        <f>U4*1.2</f>
        <v>115346.13565657822</v>
      </c>
      <c r="W4" s="4"/>
      <c r="X4" s="4">
        <f>Y4*0.8</f>
        <v>88804.121645279578</v>
      </c>
      <c r="Y4" s="4">
        <f>E4*1.074</f>
        <v>111005.15205659947</v>
      </c>
      <c r="Z4" s="4">
        <f>Y4*1.2</f>
        <v>133206.18246791937</v>
      </c>
      <c r="AB4" t="s">
        <v>95</v>
      </c>
      <c r="AC4">
        <v>0.72499999999999998</v>
      </c>
    </row>
    <row r="5" spans="1:29" x14ac:dyDescent="0.25">
      <c r="A5" s="6" t="s">
        <v>96</v>
      </c>
      <c r="B5" s="16"/>
      <c r="C5" s="26">
        <v>5</v>
      </c>
      <c r="D5" s="4">
        <f t="shared" si="0"/>
        <v>82685.401904357146</v>
      </c>
      <c r="E5" s="4">
        <v>103356.75238044643</v>
      </c>
      <c r="F5" s="4">
        <f t="shared" si="1"/>
        <v>124028.10285653571</v>
      </c>
      <c r="G5" s="5"/>
      <c r="H5" s="4">
        <f t="shared" ref="H5:H35" si="2">I5*0.8</f>
        <v>59946.916380658935</v>
      </c>
      <c r="I5" s="4">
        <f t="shared" ref="I5:I35" si="3">E5*0.725</f>
        <v>74933.645475823665</v>
      </c>
      <c r="J5" s="4">
        <f t="shared" ref="J5:J35" si="4">I5*1.2</f>
        <v>89920.374570988395</v>
      </c>
      <c r="K5" s="4"/>
      <c r="L5" s="4">
        <f t="shared" ref="L5:L35" si="5">M5*0.8</f>
        <v>66313.692327294426</v>
      </c>
      <c r="M5" s="4">
        <f t="shared" ref="M5:M35" si="6">E5*0.802</f>
        <v>82892.115409118036</v>
      </c>
      <c r="N5" s="4">
        <f t="shared" ref="N5:N35" si="7">M5*1.2</f>
        <v>99470.538490941646</v>
      </c>
      <c r="O5" s="4"/>
      <c r="P5" s="4">
        <f t="shared" ref="P5:P35" si="8">Q5*0.8</f>
        <v>72349.726666312505</v>
      </c>
      <c r="Q5" s="4">
        <f t="shared" ref="Q5:Q35" si="9">E5*0.875</f>
        <v>90437.158332890627</v>
      </c>
      <c r="R5" s="4">
        <f t="shared" ref="R5:R35" si="10">Q5*1.2</f>
        <v>108524.58999946875</v>
      </c>
      <c r="S5" s="4"/>
      <c r="T5" s="4">
        <f t="shared" ref="T5:T35" si="11">U5*0.8</f>
        <v>76897.423771052141</v>
      </c>
      <c r="U5" s="4">
        <f t="shared" ref="U5:U35" si="12">E5*0.93</f>
        <v>96121.77971381518</v>
      </c>
      <c r="V5" s="4">
        <f t="shared" ref="V5:V35" si="13">U5*1.2</f>
        <v>115346.13565657822</v>
      </c>
      <c r="W5" s="4"/>
      <c r="X5" s="4">
        <f t="shared" ref="X5:X35" si="14">Y5*0.8</f>
        <v>88804.121645279578</v>
      </c>
      <c r="Y5" s="4">
        <f t="shared" ref="Y5:Y35" si="15">E5*1.074</f>
        <v>111005.15205659947</v>
      </c>
      <c r="Z5" s="4">
        <f t="shared" ref="Z5:Z35" si="16">Y5*1.2</f>
        <v>133206.18246791937</v>
      </c>
      <c r="AB5" t="s">
        <v>97</v>
      </c>
      <c r="AC5">
        <v>0.80200000000000005</v>
      </c>
    </row>
    <row r="6" spans="1:29" x14ac:dyDescent="0.25">
      <c r="A6" s="6" t="s">
        <v>98</v>
      </c>
      <c r="B6" s="16"/>
      <c r="C6" s="26">
        <v>5</v>
      </c>
      <c r="D6" s="4">
        <f t="shared" si="0"/>
        <v>82685.401904357146</v>
      </c>
      <c r="E6" s="4">
        <v>103356.75238044643</v>
      </c>
      <c r="F6" s="4">
        <f t="shared" si="1"/>
        <v>124028.10285653571</v>
      </c>
      <c r="G6" s="5"/>
      <c r="H6" s="4">
        <f t="shared" si="2"/>
        <v>59946.916380658935</v>
      </c>
      <c r="I6" s="4">
        <f t="shared" si="3"/>
        <v>74933.645475823665</v>
      </c>
      <c r="J6" s="4">
        <f t="shared" si="4"/>
        <v>89920.374570988395</v>
      </c>
      <c r="K6" s="4"/>
      <c r="L6" s="4">
        <f t="shared" si="5"/>
        <v>66313.692327294426</v>
      </c>
      <c r="M6" s="4">
        <f t="shared" si="6"/>
        <v>82892.115409118036</v>
      </c>
      <c r="N6" s="4">
        <f t="shared" si="7"/>
        <v>99470.538490941646</v>
      </c>
      <c r="O6" s="4"/>
      <c r="P6" s="4">
        <f t="shared" si="8"/>
        <v>72349.726666312505</v>
      </c>
      <c r="Q6" s="4">
        <f t="shared" si="9"/>
        <v>90437.158332890627</v>
      </c>
      <c r="R6" s="4">
        <f t="shared" si="10"/>
        <v>108524.58999946875</v>
      </c>
      <c r="S6" s="4"/>
      <c r="T6" s="4">
        <f t="shared" si="11"/>
        <v>76897.423771052141</v>
      </c>
      <c r="U6" s="4">
        <f t="shared" si="12"/>
        <v>96121.77971381518</v>
      </c>
      <c r="V6" s="4">
        <f t="shared" si="13"/>
        <v>115346.13565657822</v>
      </c>
      <c r="W6" s="4"/>
      <c r="X6" s="4">
        <f t="shared" si="14"/>
        <v>88804.121645279578</v>
      </c>
      <c r="Y6" s="4">
        <f t="shared" si="15"/>
        <v>111005.15205659947</v>
      </c>
      <c r="Z6" s="4">
        <f t="shared" si="16"/>
        <v>133206.18246791937</v>
      </c>
      <c r="AB6" t="s">
        <v>99</v>
      </c>
      <c r="AC6">
        <v>0.875</v>
      </c>
    </row>
    <row r="7" spans="1:29" x14ac:dyDescent="0.25">
      <c r="A7" s="6" t="s">
        <v>100</v>
      </c>
      <c r="B7" s="16"/>
      <c r="C7" s="26">
        <v>5</v>
      </c>
      <c r="D7" s="27">
        <f t="shared" si="0"/>
        <v>82685.401904357146</v>
      </c>
      <c r="E7" s="27">
        <v>103356.75238044643</v>
      </c>
      <c r="F7" s="27">
        <f t="shared" si="1"/>
        <v>124028.10285653571</v>
      </c>
      <c r="G7" s="5"/>
      <c r="H7" s="4">
        <f t="shared" si="2"/>
        <v>59946.916380658935</v>
      </c>
      <c r="I7" s="4">
        <f t="shared" si="3"/>
        <v>74933.645475823665</v>
      </c>
      <c r="J7" s="4">
        <f t="shared" si="4"/>
        <v>89920.374570988395</v>
      </c>
      <c r="K7" s="4"/>
      <c r="L7" s="4">
        <f t="shared" si="5"/>
        <v>66313.692327294426</v>
      </c>
      <c r="M7" s="4">
        <f t="shared" si="6"/>
        <v>82892.115409118036</v>
      </c>
      <c r="N7" s="4">
        <f t="shared" si="7"/>
        <v>99470.538490941646</v>
      </c>
      <c r="O7" s="4"/>
      <c r="P7" s="4">
        <f t="shared" si="8"/>
        <v>72349.726666312505</v>
      </c>
      <c r="Q7" s="4">
        <f t="shared" si="9"/>
        <v>90437.158332890627</v>
      </c>
      <c r="R7" s="4">
        <f t="shared" si="10"/>
        <v>108524.58999946875</v>
      </c>
      <c r="S7" s="4"/>
      <c r="T7" s="4">
        <f t="shared" si="11"/>
        <v>76897.423771052141</v>
      </c>
      <c r="U7" s="4">
        <f t="shared" si="12"/>
        <v>96121.77971381518</v>
      </c>
      <c r="V7" s="4">
        <f t="shared" si="13"/>
        <v>115346.13565657822</v>
      </c>
      <c r="W7" s="4"/>
      <c r="X7" s="4">
        <f t="shared" si="14"/>
        <v>88804.121645279578</v>
      </c>
      <c r="Y7" s="4">
        <f t="shared" si="15"/>
        <v>111005.15205659947</v>
      </c>
      <c r="Z7" s="4">
        <f t="shared" si="16"/>
        <v>133206.18246791937</v>
      </c>
      <c r="AB7" t="s">
        <v>101</v>
      </c>
      <c r="AC7">
        <v>0.93</v>
      </c>
    </row>
    <row r="8" spans="1:29" x14ac:dyDescent="0.25">
      <c r="A8" s="6" t="s">
        <v>102</v>
      </c>
      <c r="B8" s="16"/>
      <c r="C8" s="26">
        <v>5</v>
      </c>
      <c r="D8" s="4">
        <f t="shared" si="0"/>
        <v>82685.401904357146</v>
      </c>
      <c r="E8" s="4">
        <v>103356.75238044643</v>
      </c>
      <c r="F8" s="4">
        <f t="shared" si="1"/>
        <v>124028.10285653571</v>
      </c>
      <c r="G8" s="5"/>
      <c r="H8" s="4">
        <f t="shared" si="2"/>
        <v>59946.916380658935</v>
      </c>
      <c r="I8" s="4">
        <f t="shared" si="3"/>
        <v>74933.645475823665</v>
      </c>
      <c r="J8" s="4">
        <f t="shared" si="4"/>
        <v>89920.374570988395</v>
      </c>
      <c r="K8" s="4"/>
      <c r="L8" s="4">
        <f t="shared" si="5"/>
        <v>66313.692327294426</v>
      </c>
      <c r="M8" s="4">
        <f t="shared" si="6"/>
        <v>82892.115409118036</v>
      </c>
      <c r="N8" s="4">
        <f t="shared" si="7"/>
        <v>99470.538490941646</v>
      </c>
      <c r="O8" s="4"/>
      <c r="P8" s="4">
        <f t="shared" si="8"/>
        <v>72349.726666312505</v>
      </c>
      <c r="Q8" s="4">
        <f t="shared" si="9"/>
        <v>90437.158332890627</v>
      </c>
      <c r="R8" s="4">
        <f t="shared" si="10"/>
        <v>108524.58999946875</v>
      </c>
      <c r="S8" s="4"/>
      <c r="T8" s="4">
        <f t="shared" si="11"/>
        <v>76897.423771052141</v>
      </c>
      <c r="U8" s="4">
        <f t="shared" si="12"/>
        <v>96121.77971381518</v>
      </c>
      <c r="V8" s="4">
        <f t="shared" si="13"/>
        <v>115346.13565657822</v>
      </c>
      <c r="W8" s="4"/>
      <c r="X8" s="4">
        <f t="shared" si="14"/>
        <v>88804.121645279578</v>
      </c>
      <c r="Y8" s="4">
        <f t="shared" si="15"/>
        <v>111005.15205659947</v>
      </c>
      <c r="Z8" s="4">
        <f t="shared" si="16"/>
        <v>133206.18246791937</v>
      </c>
      <c r="AB8" t="s">
        <v>103</v>
      </c>
      <c r="AC8">
        <v>1</v>
      </c>
    </row>
    <row r="9" spans="1:29" x14ac:dyDescent="0.25">
      <c r="A9" s="8" t="s">
        <v>104</v>
      </c>
      <c r="B9" s="16"/>
      <c r="C9" s="26">
        <v>5</v>
      </c>
      <c r="D9" s="4">
        <f t="shared" si="0"/>
        <v>82685.401904357146</v>
      </c>
      <c r="E9" s="4">
        <v>103356.75238044643</v>
      </c>
      <c r="F9" s="4">
        <f t="shared" si="1"/>
        <v>124028.10285653571</v>
      </c>
      <c r="G9" s="5"/>
      <c r="H9" s="4">
        <f t="shared" si="2"/>
        <v>59946.916380658935</v>
      </c>
      <c r="I9" s="4">
        <f t="shared" si="3"/>
        <v>74933.645475823665</v>
      </c>
      <c r="J9" s="4">
        <f t="shared" si="4"/>
        <v>89920.374570988395</v>
      </c>
      <c r="K9" s="4"/>
      <c r="L9" s="4">
        <f t="shared" si="5"/>
        <v>66313.692327294426</v>
      </c>
      <c r="M9" s="4">
        <f t="shared" si="6"/>
        <v>82892.115409118036</v>
      </c>
      <c r="N9" s="4">
        <f t="shared" si="7"/>
        <v>99470.538490941646</v>
      </c>
      <c r="O9" s="4"/>
      <c r="P9" s="4">
        <f t="shared" si="8"/>
        <v>72349.726666312505</v>
      </c>
      <c r="Q9" s="4">
        <f t="shared" si="9"/>
        <v>90437.158332890627</v>
      </c>
      <c r="R9" s="4">
        <f t="shared" si="10"/>
        <v>108524.58999946875</v>
      </c>
      <c r="S9" s="4"/>
      <c r="T9" s="4">
        <f t="shared" si="11"/>
        <v>76897.423771052141</v>
      </c>
      <c r="U9" s="4">
        <f t="shared" si="12"/>
        <v>96121.77971381518</v>
      </c>
      <c r="V9" s="4">
        <f t="shared" si="13"/>
        <v>115346.13565657822</v>
      </c>
      <c r="W9" s="4"/>
      <c r="X9" s="4">
        <f t="shared" si="14"/>
        <v>88804.121645279578</v>
      </c>
      <c r="Y9" s="4">
        <f t="shared" si="15"/>
        <v>111005.15205659947</v>
      </c>
      <c r="Z9" s="4">
        <f t="shared" si="16"/>
        <v>133206.18246791937</v>
      </c>
      <c r="AB9" t="s">
        <v>105</v>
      </c>
      <c r="AC9">
        <v>1.0740000000000001</v>
      </c>
    </row>
    <row r="10" spans="1:29" x14ac:dyDescent="0.25">
      <c r="A10" s="6" t="s">
        <v>106</v>
      </c>
      <c r="B10" s="16"/>
      <c r="C10" s="26">
        <v>5</v>
      </c>
      <c r="D10" s="4">
        <f t="shared" si="0"/>
        <v>82685.401904357146</v>
      </c>
      <c r="E10" s="4">
        <v>103356.75238044643</v>
      </c>
      <c r="F10" s="4">
        <f t="shared" si="1"/>
        <v>124028.10285653571</v>
      </c>
      <c r="G10" s="5"/>
      <c r="H10" s="4">
        <f t="shared" si="2"/>
        <v>59946.916380658935</v>
      </c>
      <c r="I10" s="4">
        <f t="shared" si="3"/>
        <v>74933.645475823665</v>
      </c>
      <c r="J10" s="4">
        <f t="shared" si="4"/>
        <v>89920.374570988395</v>
      </c>
      <c r="K10" s="4"/>
      <c r="L10" s="4">
        <f t="shared" si="5"/>
        <v>66313.692327294426</v>
      </c>
      <c r="M10" s="4">
        <f t="shared" si="6"/>
        <v>82892.115409118036</v>
      </c>
      <c r="N10" s="4">
        <f t="shared" si="7"/>
        <v>99470.538490941646</v>
      </c>
      <c r="O10" s="4"/>
      <c r="P10" s="4">
        <f t="shared" si="8"/>
        <v>72349.726666312505</v>
      </c>
      <c r="Q10" s="4">
        <f t="shared" si="9"/>
        <v>90437.158332890627</v>
      </c>
      <c r="R10" s="4">
        <f t="shared" si="10"/>
        <v>108524.58999946875</v>
      </c>
      <c r="S10" s="4"/>
      <c r="T10" s="4">
        <f t="shared" si="11"/>
        <v>76897.423771052141</v>
      </c>
      <c r="U10" s="4">
        <f t="shared" si="12"/>
        <v>96121.77971381518</v>
      </c>
      <c r="V10" s="4">
        <f t="shared" si="13"/>
        <v>115346.13565657822</v>
      </c>
      <c r="W10" s="4"/>
      <c r="X10" s="4">
        <f t="shared" si="14"/>
        <v>88804.121645279578</v>
      </c>
      <c r="Y10" s="4">
        <f t="shared" si="15"/>
        <v>111005.15205659947</v>
      </c>
      <c r="Z10" s="4">
        <f t="shared" si="16"/>
        <v>133206.18246791937</v>
      </c>
    </row>
    <row r="11" spans="1:29" x14ac:dyDescent="0.25">
      <c r="A11" s="6" t="s">
        <v>107</v>
      </c>
      <c r="B11" s="16"/>
      <c r="C11" s="26">
        <v>5</v>
      </c>
      <c r="D11" s="4">
        <f t="shared" si="0"/>
        <v>82685.401904357146</v>
      </c>
      <c r="E11" s="4">
        <v>103356.75238044643</v>
      </c>
      <c r="F11" s="4">
        <f t="shared" si="1"/>
        <v>124028.10285653571</v>
      </c>
      <c r="G11" s="5"/>
      <c r="H11" s="4">
        <f t="shared" si="2"/>
        <v>59946.916380658935</v>
      </c>
      <c r="I11" s="4">
        <f t="shared" si="3"/>
        <v>74933.645475823665</v>
      </c>
      <c r="J11" s="4">
        <f t="shared" si="4"/>
        <v>89920.374570988395</v>
      </c>
      <c r="K11" s="4"/>
      <c r="L11" s="4">
        <f t="shared" si="5"/>
        <v>66313.692327294426</v>
      </c>
      <c r="M11" s="4">
        <f t="shared" si="6"/>
        <v>82892.115409118036</v>
      </c>
      <c r="N11" s="4">
        <f t="shared" si="7"/>
        <v>99470.538490941646</v>
      </c>
      <c r="O11" s="4"/>
      <c r="P11" s="4">
        <f t="shared" si="8"/>
        <v>72349.726666312505</v>
      </c>
      <c r="Q11" s="4">
        <f t="shared" si="9"/>
        <v>90437.158332890627</v>
      </c>
      <c r="R11" s="4">
        <f t="shared" si="10"/>
        <v>108524.58999946875</v>
      </c>
      <c r="S11" s="4"/>
      <c r="T11" s="4">
        <f t="shared" si="11"/>
        <v>76897.423771052141</v>
      </c>
      <c r="U11" s="4">
        <f t="shared" si="12"/>
        <v>96121.77971381518</v>
      </c>
      <c r="V11" s="4">
        <f t="shared" si="13"/>
        <v>115346.13565657822</v>
      </c>
      <c r="W11" s="4"/>
      <c r="X11" s="4">
        <f t="shared" si="14"/>
        <v>88804.121645279578</v>
      </c>
      <c r="Y11" s="4">
        <f t="shared" si="15"/>
        <v>111005.15205659947</v>
      </c>
      <c r="Z11" s="4">
        <f t="shared" si="16"/>
        <v>133206.18246791937</v>
      </c>
    </row>
    <row r="12" spans="1:29" x14ac:dyDescent="0.25">
      <c r="A12" s="6" t="s">
        <v>108</v>
      </c>
      <c r="B12" s="17"/>
      <c r="C12" s="26">
        <v>5</v>
      </c>
      <c r="D12" s="4">
        <f t="shared" si="0"/>
        <v>82685.401904357146</v>
      </c>
      <c r="E12" s="4">
        <v>103356.75238044643</v>
      </c>
      <c r="F12" s="4">
        <f t="shared" si="1"/>
        <v>124028.10285653571</v>
      </c>
      <c r="G12" s="5"/>
      <c r="H12" s="4">
        <f t="shared" si="2"/>
        <v>59946.916380658935</v>
      </c>
      <c r="I12" s="4">
        <f t="shared" si="3"/>
        <v>74933.645475823665</v>
      </c>
      <c r="J12" s="4">
        <f t="shared" si="4"/>
        <v>89920.374570988395</v>
      </c>
      <c r="K12" s="4"/>
      <c r="L12" s="4">
        <f t="shared" si="5"/>
        <v>66313.692327294426</v>
      </c>
      <c r="M12" s="4">
        <f t="shared" si="6"/>
        <v>82892.115409118036</v>
      </c>
      <c r="N12" s="4">
        <f t="shared" si="7"/>
        <v>99470.538490941646</v>
      </c>
      <c r="O12" s="4"/>
      <c r="P12" s="4">
        <f t="shared" si="8"/>
        <v>72349.726666312505</v>
      </c>
      <c r="Q12" s="4">
        <f t="shared" si="9"/>
        <v>90437.158332890627</v>
      </c>
      <c r="R12" s="4">
        <f t="shared" si="10"/>
        <v>108524.58999946875</v>
      </c>
      <c r="S12" s="4"/>
      <c r="T12" s="4">
        <f t="shared" si="11"/>
        <v>76897.423771052141</v>
      </c>
      <c r="U12" s="4">
        <f t="shared" si="12"/>
        <v>96121.77971381518</v>
      </c>
      <c r="V12" s="4">
        <f t="shared" si="13"/>
        <v>115346.13565657822</v>
      </c>
      <c r="W12" s="4"/>
      <c r="X12" s="4">
        <f t="shared" si="14"/>
        <v>88804.121645279578</v>
      </c>
      <c r="Y12" s="4">
        <f t="shared" si="15"/>
        <v>111005.15205659947</v>
      </c>
      <c r="Z12" s="4">
        <f t="shared" si="16"/>
        <v>133206.18246791937</v>
      </c>
    </row>
    <row r="13" spans="1:29" x14ac:dyDescent="0.25">
      <c r="A13" s="6"/>
      <c r="B13" s="17"/>
      <c r="C13" s="23"/>
      <c r="D13" s="4"/>
      <c r="E13" s="4"/>
      <c r="F13" s="4"/>
      <c r="G13" s="5"/>
      <c r="H13" s="4"/>
      <c r="I13" s="4"/>
      <c r="J13" s="4"/>
      <c r="K13" s="4"/>
      <c r="L13" s="4"/>
      <c r="M13" s="4"/>
      <c r="N13" s="4"/>
      <c r="O13" s="4"/>
      <c r="P13" s="4"/>
      <c r="Q13" s="4"/>
      <c r="R13" s="4"/>
      <c r="S13" s="4"/>
      <c r="T13" s="4"/>
      <c r="U13" s="4"/>
      <c r="V13" s="4"/>
      <c r="W13" s="4"/>
      <c r="X13" s="4"/>
      <c r="Y13" s="4"/>
      <c r="Z13" s="4"/>
    </row>
    <row r="14" spans="1:29" x14ac:dyDescent="0.25">
      <c r="A14" s="6" t="s">
        <v>109</v>
      </c>
      <c r="B14" s="16"/>
      <c r="C14" s="20">
        <v>4</v>
      </c>
      <c r="D14" s="4">
        <f>E14*0.8</f>
        <v>70942.501509833339</v>
      </c>
      <c r="E14" s="4">
        <v>88678.12688729167</v>
      </c>
      <c r="F14" s="4">
        <f>E14*1.2</f>
        <v>106413.75226475</v>
      </c>
      <c r="G14" s="5"/>
      <c r="H14" s="4">
        <f t="shared" si="2"/>
        <v>51433.313594629173</v>
      </c>
      <c r="I14" s="4">
        <f t="shared" si="3"/>
        <v>64291.641993286459</v>
      </c>
      <c r="J14" s="4">
        <f t="shared" si="4"/>
        <v>77149.970391943745</v>
      </c>
      <c r="K14" s="4"/>
      <c r="L14" s="4">
        <f t="shared" si="5"/>
        <v>56895.886210886347</v>
      </c>
      <c r="M14" s="4">
        <f t="shared" si="6"/>
        <v>71119.857763607928</v>
      </c>
      <c r="N14" s="4">
        <f t="shared" si="7"/>
        <v>85343.829316329517</v>
      </c>
      <c r="O14" s="4"/>
      <c r="P14" s="4">
        <f t="shared" si="8"/>
        <v>62074.688821104173</v>
      </c>
      <c r="Q14" s="4">
        <f t="shared" si="9"/>
        <v>77593.361026380211</v>
      </c>
      <c r="R14" s="4">
        <f t="shared" si="10"/>
        <v>93112.033231656256</v>
      </c>
      <c r="S14" s="4"/>
      <c r="T14" s="4">
        <f t="shared" si="11"/>
        <v>65976.526404145014</v>
      </c>
      <c r="U14" s="4">
        <f t="shared" si="12"/>
        <v>82470.658005181263</v>
      </c>
      <c r="V14" s="4">
        <f t="shared" si="13"/>
        <v>98964.789606217513</v>
      </c>
      <c r="W14" s="4"/>
      <c r="X14" s="4">
        <f t="shared" si="14"/>
        <v>76192.246621561004</v>
      </c>
      <c r="Y14" s="4">
        <f t="shared" si="15"/>
        <v>95240.308276951255</v>
      </c>
      <c r="Z14" s="4">
        <f t="shared" si="16"/>
        <v>114288.36993234151</v>
      </c>
    </row>
    <row r="15" spans="1:29" x14ac:dyDescent="0.25">
      <c r="A15" s="6" t="s">
        <v>110</v>
      </c>
      <c r="B15" s="16"/>
      <c r="C15" s="20">
        <v>4</v>
      </c>
      <c r="D15" s="4">
        <f>E15*0.8</f>
        <v>70942.501509833339</v>
      </c>
      <c r="E15" s="4">
        <v>88678.12688729167</v>
      </c>
      <c r="F15" s="4">
        <f>E15*1.2</f>
        <v>106413.75226475</v>
      </c>
      <c r="G15" s="5"/>
      <c r="H15" s="4">
        <f t="shared" si="2"/>
        <v>51433.313594629173</v>
      </c>
      <c r="I15" s="4">
        <f t="shared" si="3"/>
        <v>64291.641993286459</v>
      </c>
      <c r="J15" s="4">
        <f t="shared" si="4"/>
        <v>77149.970391943745</v>
      </c>
      <c r="K15" s="4"/>
      <c r="L15" s="4">
        <f t="shared" si="5"/>
        <v>56895.886210886347</v>
      </c>
      <c r="M15" s="4">
        <f t="shared" si="6"/>
        <v>71119.857763607928</v>
      </c>
      <c r="N15" s="4">
        <f t="shared" si="7"/>
        <v>85343.829316329517</v>
      </c>
      <c r="O15" s="4"/>
      <c r="P15" s="4">
        <f t="shared" si="8"/>
        <v>62074.688821104173</v>
      </c>
      <c r="Q15" s="4">
        <f t="shared" si="9"/>
        <v>77593.361026380211</v>
      </c>
      <c r="R15" s="4">
        <f t="shared" si="10"/>
        <v>93112.033231656256</v>
      </c>
      <c r="S15" s="4"/>
      <c r="T15" s="4">
        <f t="shared" si="11"/>
        <v>65976.526404145014</v>
      </c>
      <c r="U15" s="4">
        <f t="shared" si="12"/>
        <v>82470.658005181263</v>
      </c>
      <c r="V15" s="4">
        <f t="shared" si="13"/>
        <v>98964.789606217513</v>
      </c>
      <c r="W15" s="4"/>
      <c r="X15" s="4">
        <f t="shared" si="14"/>
        <v>76192.246621561004</v>
      </c>
      <c r="Y15" s="4">
        <f t="shared" si="15"/>
        <v>95240.308276951255</v>
      </c>
      <c r="Z15" s="4">
        <f t="shared" si="16"/>
        <v>114288.36993234151</v>
      </c>
    </row>
    <row r="16" spans="1:29" x14ac:dyDescent="0.25">
      <c r="A16" s="6" t="s">
        <v>111</v>
      </c>
      <c r="B16" s="16"/>
      <c r="C16" s="20">
        <v>4</v>
      </c>
      <c r="D16" s="4">
        <f>E16*0.8</f>
        <v>70942.501509833339</v>
      </c>
      <c r="E16" s="4">
        <v>88678.12688729167</v>
      </c>
      <c r="F16" s="4">
        <f>E16*1.2</f>
        <v>106413.75226475</v>
      </c>
      <c r="G16" s="5"/>
      <c r="H16" s="4">
        <f t="shared" si="2"/>
        <v>51433.313594629173</v>
      </c>
      <c r="I16" s="4">
        <f t="shared" si="3"/>
        <v>64291.641993286459</v>
      </c>
      <c r="J16" s="4">
        <f t="shared" si="4"/>
        <v>77149.970391943745</v>
      </c>
      <c r="K16" s="4"/>
      <c r="L16" s="4">
        <f t="shared" si="5"/>
        <v>56895.886210886347</v>
      </c>
      <c r="M16" s="4">
        <f t="shared" si="6"/>
        <v>71119.857763607928</v>
      </c>
      <c r="N16" s="4">
        <f t="shared" si="7"/>
        <v>85343.829316329517</v>
      </c>
      <c r="O16" s="4"/>
      <c r="P16" s="4">
        <f t="shared" si="8"/>
        <v>62074.688821104173</v>
      </c>
      <c r="Q16" s="4">
        <f t="shared" si="9"/>
        <v>77593.361026380211</v>
      </c>
      <c r="R16" s="4">
        <f t="shared" si="10"/>
        <v>93112.033231656256</v>
      </c>
      <c r="S16" s="4"/>
      <c r="T16" s="4">
        <f t="shared" si="11"/>
        <v>65976.526404145014</v>
      </c>
      <c r="U16" s="4">
        <f t="shared" si="12"/>
        <v>82470.658005181263</v>
      </c>
      <c r="V16" s="4">
        <f t="shared" si="13"/>
        <v>98964.789606217513</v>
      </c>
      <c r="W16" s="4"/>
      <c r="X16" s="4">
        <f t="shared" si="14"/>
        <v>76192.246621561004</v>
      </c>
      <c r="Y16" s="4">
        <f t="shared" si="15"/>
        <v>95240.308276951255</v>
      </c>
      <c r="Z16" s="4">
        <f t="shared" si="16"/>
        <v>114288.36993234151</v>
      </c>
    </row>
    <row r="17" spans="1:26" x14ac:dyDescent="0.25">
      <c r="A17" s="6" t="s">
        <v>112</v>
      </c>
      <c r="B17" s="16"/>
      <c r="C17" s="20">
        <v>4</v>
      </c>
      <c r="D17" s="4">
        <f>E17*0.8</f>
        <v>70942.501509833339</v>
      </c>
      <c r="E17" s="4">
        <v>88678.12688729167</v>
      </c>
      <c r="F17" s="4">
        <f>E17*1.2</f>
        <v>106413.75226475</v>
      </c>
      <c r="G17" s="5"/>
      <c r="H17" s="4">
        <f t="shared" si="2"/>
        <v>51433.313594629173</v>
      </c>
      <c r="I17" s="4">
        <f t="shared" si="3"/>
        <v>64291.641993286459</v>
      </c>
      <c r="J17" s="4">
        <f t="shared" si="4"/>
        <v>77149.970391943745</v>
      </c>
      <c r="K17" s="4"/>
      <c r="L17" s="4">
        <f t="shared" si="5"/>
        <v>56895.886210886347</v>
      </c>
      <c r="M17" s="4">
        <f t="shared" si="6"/>
        <v>71119.857763607928</v>
      </c>
      <c r="N17" s="4">
        <f t="shared" si="7"/>
        <v>85343.829316329517</v>
      </c>
      <c r="O17" s="4"/>
      <c r="P17" s="4">
        <f t="shared" si="8"/>
        <v>62074.688821104173</v>
      </c>
      <c r="Q17" s="4">
        <f t="shared" si="9"/>
        <v>77593.361026380211</v>
      </c>
      <c r="R17" s="4">
        <f t="shared" si="10"/>
        <v>93112.033231656256</v>
      </c>
      <c r="S17" s="4"/>
      <c r="T17" s="4">
        <f t="shared" si="11"/>
        <v>65976.526404145014</v>
      </c>
      <c r="U17" s="4">
        <f t="shared" si="12"/>
        <v>82470.658005181263</v>
      </c>
      <c r="V17" s="4">
        <f t="shared" si="13"/>
        <v>98964.789606217513</v>
      </c>
      <c r="W17" s="4"/>
      <c r="X17" s="4">
        <f t="shared" si="14"/>
        <v>76192.246621561004</v>
      </c>
      <c r="Y17" s="4">
        <f t="shared" si="15"/>
        <v>95240.308276951255</v>
      </c>
      <c r="Z17" s="4">
        <f t="shared" si="16"/>
        <v>114288.36993234151</v>
      </c>
    </row>
    <row r="18" spans="1:26" x14ac:dyDescent="0.25">
      <c r="A18" s="6"/>
      <c r="B18" s="16"/>
      <c r="C18" s="20"/>
      <c r="D18" s="4"/>
      <c r="E18" s="4"/>
      <c r="F18" s="4"/>
      <c r="G18" s="5"/>
      <c r="H18" s="4"/>
      <c r="I18" s="4"/>
      <c r="J18" s="4"/>
      <c r="K18" s="4"/>
      <c r="L18" s="4"/>
      <c r="M18" s="4"/>
      <c r="N18" s="4"/>
      <c r="O18" s="4"/>
      <c r="P18" s="4"/>
      <c r="Q18" s="4"/>
      <c r="R18" s="4"/>
      <c r="S18" s="4"/>
      <c r="T18" s="4"/>
      <c r="U18" s="4"/>
      <c r="V18" s="4"/>
      <c r="W18" s="4"/>
      <c r="X18" s="4"/>
      <c r="Y18" s="4"/>
      <c r="Z18" s="4"/>
    </row>
    <row r="19" spans="1:26" x14ac:dyDescent="0.25">
      <c r="A19" s="6" t="s">
        <v>113</v>
      </c>
      <c r="B19" s="16"/>
      <c r="C19" s="20">
        <v>3</v>
      </c>
      <c r="D19" s="4">
        <f>E19*0.8</f>
        <v>64200.755239996666</v>
      </c>
      <c r="E19" s="4">
        <v>80250.944049995829</v>
      </c>
      <c r="F19" s="4">
        <f>E19*1.2</f>
        <v>96301.132859994992</v>
      </c>
      <c r="G19" s="5"/>
      <c r="H19" s="4">
        <f t="shared" si="2"/>
        <v>46545.54754899758</v>
      </c>
      <c r="I19" s="4">
        <f t="shared" si="3"/>
        <v>58181.934436246971</v>
      </c>
      <c r="J19" s="4">
        <f t="shared" si="4"/>
        <v>69818.321323496362</v>
      </c>
      <c r="K19" s="4"/>
      <c r="L19" s="4">
        <f t="shared" si="5"/>
        <v>51489.005702477327</v>
      </c>
      <c r="M19" s="4">
        <f t="shared" si="6"/>
        <v>64361.257128096659</v>
      </c>
      <c r="N19" s="4">
        <f t="shared" si="7"/>
        <v>77233.50855371599</v>
      </c>
      <c r="O19" s="4"/>
      <c r="P19" s="4">
        <f t="shared" si="8"/>
        <v>56175.660834997077</v>
      </c>
      <c r="Q19" s="4">
        <f t="shared" si="9"/>
        <v>70219.576043746347</v>
      </c>
      <c r="R19" s="4">
        <f t="shared" si="10"/>
        <v>84263.491252495616</v>
      </c>
      <c r="S19" s="4"/>
      <c r="T19" s="4">
        <f t="shared" si="11"/>
        <v>59706.702373196895</v>
      </c>
      <c r="U19" s="4">
        <f t="shared" si="12"/>
        <v>74633.377966496118</v>
      </c>
      <c r="V19" s="4">
        <f t="shared" si="13"/>
        <v>89560.053559795342</v>
      </c>
      <c r="W19" s="4"/>
      <c r="X19" s="4">
        <f t="shared" si="14"/>
        <v>68951.61112775642</v>
      </c>
      <c r="Y19" s="4">
        <f t="shared" si="15"/>
        <v>86189.513909695524</v>
      </c>
      <c r="Z19" s="4">
        <f t="shared" si="16"/>
        <v>103427.41669163463</v>
      </c>
    </row>
    <row r="20" spans="1:26" x14ac:dyDescent="0.25">
      <c r="A20" s="6" t="s">
        <v>114</v>
      </c>
      <c r="B20" s="16"/>
      <c r="C20" s="20">
        <v>3</v>
      </c>
      <c r="D20" s="4">
        <f>E20*0.8</f>
        <v>64200.755239996666</v>
      </c>
      <c r="E20" s="4">
        <v>80250.944049995829</v>
      </c>
      <c r="F20" s="4">
        <f>E20*1.2</f>
        <v>96301.132859994992</v>
      </c>
      <c r="G20" s="5"/>
      <c r="H20" s="4">
        <f t="shared" si="2"/>
        <v>46545.54754899758</v>
      </c>
      <c r="I20" s="4">
        <f t="shared" si="3"/>
        <v>58181.934436246971</v>
      </c>
      <c r="J20" s="4">
        <f t="shared" si="4"/>
        <v>69818.321323496362</v>
      </c>
      <c r="K20" s="4"/>
      <c r="L20" s="4">
        <f t="shared" si="5"/>
        <v>51489.005702477327</v>
      </c>
      <c r="M20" s="4">
        <f t="shared" si="6"/>
        <v>64361.257128096659</v>
      </c>
      <c r="N20" s="4">
        <f t="shared" si="7"/>
        <v>77233.50855371599</v>
      </c>
      <c r="O20" s="4"/>
      <c r="P20" s="4">
        <f t="shared" si="8"/>
        <v>56175.660834997077</v>
      </c>
      <c r="Q20" s="4">
        <f t="shared" si="9"/>
        <v>70219.576043746347</v>
      </c>
      <c r="R20" s="4">
        <f t="shared" si="10"/>
        <v>84263.491252495616</v>
      </c>
      <c r="S20" s="4"/>
      <c r="T20" s="4">
        <f t="shared" si="11"/>
        <v>59706.702373196895</v>
      </c>
      <c r="U20" s="4">
        <f t="shared" si="12"/>
        <v>74633.377966496118</v>
      </c>
      <c r="V20" s="4">
        <f t="shared" si="13"/>
        <v>89560.053559795342</v>
      </c>
      <c r="W20" s="4"/>
      <c r="X20" s="4">
        <f t="shared" si="14"/>
        <v>68951.61112775642</v>
      </c>
      <c r="Y20" s="4">
        <f t="shared" si="15"/>
        <v>86189.513909695524</v>
      </c>
      <c r="Z20" s="4">
        <f t="shared" si="16"/>
        <v>103427.41669163463</v>
      </c>
    </row>
    <row r="21" spans="1:26" x14ac:dyDescent="0.25">
      <c r="A21" s="8" t="s">
        <v>115</v>
      </c>
      <c r="B21" s="16"/>
      <c r="C21" s="20">
        <v>3</v>
      </c>
      <c r="D21" s="4">
        <f>E21*0.8</f>
        <v>64200.755239996666</v>
      </c>
      <c r="E21" s="4">
        <v>80250.944049995829</v>
      </c>
      <c r="F21" s="4">
        <f>E21*1.2</f>
        <v>96301.132859994992</v>
      </c>
      <c r="G21" s="5"/>
      <c r="H21" s="4">
        <f t="shared" si="2"/>
        <v>46545.54754899758</v>
      </c>
      <c r="I21" s="4">
        <f t="shared" si="3"/>
        <v>58181.934436246971</v>
      </c>
      <c r="J21" s="4">
        <f t="shared" si="4"/>
        <v>69818.321323496362</v>
      </c>
      <c r="K21" s="4"/>
      <c r="L21" s="4">
        <f t="shared" si="5"/>
        <v>51489.005702477327</v>
      </c>
      <c r="M21" s="4">
        <f t="shared" si="6"/>
        <v>64361.257128096659</v>
      </c>
      <c r="N21" s="4">
        <f t="shared" si="7"/>
        <v>77233.50855371599</v>
      </c>
      <c r="O21" s="4"/>
      <c r="P21" s="4">
        <f t="shared" si="8"/>
        <v>56175.660834997077</v>
      </c>
      <c r="Q21" s="4">
        <f t="shared" si="9"/>
        <v>70219.576043746347</v>
      </c>
      <c r="R21" s="4">
        <f t="shared" si="10"/>
        <v>84263.491252495616</v>
      </c>
      <c r="S21" s="4"/>
      <c r="T21" s="4">
        <f t="shared" si="11"/>
        <v>59706.702373196895</v>
      </c>
      <c r="U21" s="4">
        <f t="shared" si="12"/>
        <v>74633.377966496118</v>
      </c>
      <c r="V21" s="4">
        <f t="shared" si="13"/>
        <v>89560.053559795342</v>
      </c>
      <c r="W21" s="4"/>
      <c r="X21" s="4">
        <f t="shared" si="14"/>
        <v>68951.61112775642</v>
      </c>
      <c r="Y21" s="4">
        <f t="shared" si="15"/>
        <v>86189.513909695524</v>
      </c>
      <c r="Z21" s="4">
        <f t="shared" si="16"/>
        <v>103427.41669163463</v>
      </c>
    </row>
    <row r="22" spans="1:26" x14ac:dyDescent="0.25">
      <c r="A22" s="6" t="s">
        <v>116</v>
      </c>
      <c r="B22" s="16"/>
      <c r="C22" s="20">
        <v>3</v>
      </c>
      <c r="D22" s="4">
        <f>E22*0.8</f>
        <v>64200.755239996666</v>
      </c>
      <c r="E22" s="4">
        <v>80250.944049995829</v>
      </c>
      <c r="F22" s="4">
        <f>E22*1.2</f>
        <v>96301.132859994992</v>
      </c>
      <c r="G22" s="5"/>
      <c r="H22" s="4">
        <f t="shared" si="2"/>
        <v>46545.54754899758</v>
      </c>
      <c r="I22" s="4">
        <f t="shared" si="3"/>
        <v>58181.934436246971</v>
      </c>
      <c r="J22" s="4">
        <f t="shared" si="4"/>
        <v>69818.321323496362</v>
      </c>
      <c r="K22" s="4"/>
      <c r="L22" s="4">
        <f t="shared" si="5"/>
        <v>51489.005702477327</v>
      </c>
      <c r="M22" s="4">
        <f t="shared" si="6"/>
        <v>64361.257128096659</v>
      </c>
      <c r="N22" s="4">
        <f t="shared" si="7"/>
        <v>77233.50855371599</v>
      </c>
      <c r="O22" s="4"/>
      <c r="P22" s="4">
        <f t="shared" si="8"/>
        <v>56175.660834997077</v>
      </c>
      <c r="Q22" s="4">
        <f t="shared" si="9"/>
        <v>70219.576043746347</v>
      </c>
      <c r="R22" s="4">
        <f t="shared" si="10"/>
        <v>84263.491252495616</v>
      </c>
      <c r="S22" s="4"/>
      <c r="T22" s="4">
        <f t="shared" si="11"/>
        <v>59706.702373196895</v>
      </c>
      <c r="U22" s="4">
        <f t="shared" si="12"/>
        <v>74633.377966496118</v>
      </c>
      <c r="V22" s="4">
        <f t="shared" si="13"/>
        <v>89560.053559795342</v>
      </c>
      <c r="W22" s="4"/>
      <c r="X22" s="4">
        <f t="shared" si="14"/>
        <v>68951.61112775642</v>
      </c>
      <c r="Y22" s="4">
        <f t="shared" si="15"/>
        <v>86189.513909695524</v>
      </c>
      <c r="Z22" s="4">
        <f t="shared" si="16"/>
        <v>103427.41669163463</v>
      </c>
    </row>
    <row r="23" spans="1:26" x14ac:dyDescent="0.25">
      <c r="A23" s="8"/>
      <c r="B23" s="16"/>
      <c r="C23" s="20"/>
      <c r="D23" s="4"/>
      <c r="E23" s="4"/>
      <c r="F23" s="4"/>
      <c r="G23" s="5"/>
      <c r="H23" s="4"/>
      <c r="I23" s="4"/>
      <c r="J23" s="4"/>
      <c r="K23" s="4"/>
      <c r="L23" s="4"/>
      <c r="M23" s="4"/>
      <c r="N23" s="4"/>
      <c r="O23" s="4"/>
      <c r="P23" s="4"/>
      <c r="Q23" s="4"/>
      <c r="R23" s="4"/>
      <c r="S23" s="4"/>
      <c r="T23" s="4"/>
      <c r="U23" s="4"/>
      <c r="V23" s="4"/>
      <c r="W23" s="4"/>
      <c r="X23" s="4"/>
      <c r="Y23" s="4"/>
      <c r="Z23" s="4"/>
    </row>
    <row r="24" spans="1:26" x14ac:dyDescent="0.25">
      <c r="A24" s="6" t="s">
        <v>117</v>
      </c>
      <c r="B24" s="16"/>
      <c r="C24" s="20">
        <v>2</v>
      </c>
      <c r="D24" s="4">
        <f t="shared" ref="D24:D29" si="17">E24*0.8</f>
        <v>55517.591723551566</v>
      </c>
      <c r="E24" s="4">
        <v>69396.989654439458</v>
      </c>
      <c r="F24" s="4">
        <f t="shared" ref="F24:F29" si="18">E24*1.2</f>
        <v>83276.387585327349</v>
      </c>
      <c r="G24" s="5"/>
      <c r="H24" s="4">
        <f t="shared" si="2"/>
        <v>40250.253999574888</v>
      </c>
      <c r="I24" s="4">
        <f t="shared" si="3"/>
        <v>50312.817499468605</v>
      </c>
      <c r="J24" s="4">
        <f t="shared" si="4"/>
        <v>60375.380999362322</v>
      </c>
      <c r="K24" s="4"/>
      <c r="L24" s="4">
        <f t="shared" si="5"/>
        <v>44525.108562288362</v>
      </c>
      <c r="M24" s="4">
        <f t="shared" si="6"/>
        <v>55656.385702860447</v>
      </c>
      <c r="N24" s="4">
        <f t="shared" si="7"/>
        <v>66787.662843432539</v>
      </c>
      <c r="O24" s="4"/>
      <c r="P24" s="4">
        <f t="shared" si="8"/>
        <v>48577.892758107628</v>
      </c>
      <c r="Q24" s="4">
        <f t="shared" si="9"/>
        <v>60722.365947634527</v>
      </c>
      <c r="R24" s="4">
        <f t="shared" si="10"/>
        <v>72866.839137161427</v>
      </c>
      <c r="S24" s="4"/>
      <c r="T24" s="4">
        <f t="shared" si="11"/>
        <v>51631.360302902962</v>
      </c>
      <c r="U24" s="4">
        <f t="shared" si="12"/>
        <v>64539.200378628702</v>
      </c>
      <c r="V24" s="4">
        <f t="shared" si="13"/>
        <v>77447.040454354443</v>
      </c>
      <c r="W24" s="4"/>
      <c r="X24" s="4">
        <f t="shared" si="14"/>
        <v>59625.893511094386</v>
      </c>
      <c r="Y24" s="4">
        <f t="shared" si="15"/>
        <v>74532.366888867982</v>
      </c>
      <c r="Z24" s="4">
        <f t="shared" si="16"/>
        <v>89438.840266641579</v>
      </c>
    </row>
    <row r="25" spans="1:26" x14ac:dyDescent="0.25">
      <c r="A25" s="6" t="s">
        <v>118</v>
      </c>
      <c r="B25" s="16"/>
      <c r="C25" s="20">
        <v>2</v>
      </c>
      <c r="D25" s="4">
        <f t="shared" si="17"/>
        <v>55517.591723551566</v>
      </c>
      <c r="E25" s="4">
        <v>69396.989654439458</v>
      </c>
      <c r="F25" s="4">
        <f t="shared" si="18"/>
        <v>83276.387585327349</v>
      </c>
      <c r="G25" s="5"/>
      <c r="H25" s="4">
        <f t="shared" si="2"/>
        <v>40250.253999574888</v>
      </c>
      <c r="I25" s="4">
        <f t="shared" si="3"/>
        <v>50312.817499468605</v>
      </c>
      <c r="J25" s="4">
        <f t="shared" si="4"/>
        <v>60375.380999362322</v>
      </c>
      <c r="K25" s="4"/>
      <c r="L25" s="4">
        <f t="shared" si="5"/>
        <v>44525.108562288362</v>
      </c>
      <c r="M25" s="4">
        <f t="shared" si="6"/>
        <v>55656.385702860447</v>
      </c>
      <c r="N25" s="4">
        <f t="shared" si="7"/>
        <v>66787.662843432539</v>
      </c>
      <c r="O25" s="4"/>
      <c r="P25" s="4">
        <f t="shared" si="8"/>
        <v>48577.892758107628</v>
      </c>
      <c r="Q25" s="4">
        <f t="shared" si="9"/>
        <v>60722.365947634527</v>
      </c>
      <c r="R25" s="4">
        <f t="shared" si="10"/>
        <v>72866.839137161427</v>
      </c>
      <c r="S25" s="4"/>
      <c r="T25" s="4">
        <f t="shared" si="11"/>
        <v>51631.360302902962</v>
      </c>
      <c r="U25" s="4">
        <f t="shared" si="12"/>
        <v>64539.200378628702</v>
      </c>
      <c r="V25" s="4">
        <f t="shared" si="13"/>
        <v>77447.040454354443</v>
      </c>
      <c r="W25" s="4"/>
      <c r="X25" s="4">
        <f t="shared" si="14"/>
        <v>59625.893511094386</v>
      </c>
      <c r="Y25" s="4">
        <f t="shared" si="15"/>
        <v>74532.366888867982</v>
      </c>
      <c r="Z25" s="4">
        <f t="shared" si="16"/>
        <v>89438.840266641579</v>
      </c>
    </row>
    <row r="26" spans="1:26" x14ac:dyDescent="0.25">
      <c r="A26" s="8" t="s">
        <v>119</v>
      </c>
      <c r="B26" s="16"/>
      <c r="C26" s="20">
        <v>2</v>
      </c>
      <c r="D26" s="4">
        <f t="shared" si="17"/>
        <v>55517.591723551566</v>
      </c>
      <c r="E26" s="4">
        <v>69396.989654439458</v>
      </c>
      <c r="F26" s="4">
        <f t="shared" si="18"/>
        <v>83276.387585327349</v>
      </c>
      <c r="G26" s="5"/>
      <c r="H26" s="4">
        <f t="shared" si="2"/>
        <v>40250.253999574888</v>
      </c>
      <c r="I26" s="4">
        <f t="shared" si="3"/>
        <v>50312.817499468605</v>
      </c>
      <c r="J26" s="4">
        <f t="shared" si="4"/>
        <v>60375.380999362322</v>
      </c>
      <c r="K26" s="4"/>
      <c r="L26" s="4">
        <f t="shared" si="5"/>
        <v>44525.108562288362</v>
      </c>
      <c r="M26" s="4">
        <f t="shared" si="6"/>
        <v>55656.385702860447</v>
      </c>
      <c r="N26" s="4">
        <f t="shared" si="7"/>
        <v>66787.662843432539</v>
      </c>
      <c r="O26" s="4"/>
      <c r="P26" s="4">
        <f t="shared" si="8"/>
        <v>48577.892758107628</v>
      </c>
      <c r="Q26" s="4">
        <f t="shared" si="9"/>
        <v>60722.365947634527</v>
      </c>
      <c r="R26" s="4">
        <f t="shared" si="10"/>
        <v>72866.839137161427</v>
      </c>
      <c r="S26" s="4"/>
      <c r="T26" s="4">
        <f t="shared" si="11"/>
        <v>51631.360302902962</v>
      </c>
      <c r="U26" s="4">
        <f t="shared" si="12"/>
        <v>64539.200378628702</v>
      </c>
      <c r="V26" s="4">
        <f t="shared" si="13"/>
        <v>77447.040454354443</v>
      </c>
      <c r="W26" s="4"/>
      <c r="X26" s="4">
        <f t="shared" si="14"/>
        <v>59625.893511094386</v>
      </c>
      <c r="Y26" s="4">
        <f t="shared" si="15"/>
        <v>74532.366888867982</v>
      </c>
      <c r="Z26" s="4">
        <f t="shared" si="16"/>
        <v>89438.840266641579</v>
      </c>
    </row>
    <row r="27" spans="1:26" x14ac:dyDescent="0.25">
      <c r="A27" s="6" t="s">
        <v>120</v>
      </c>
      <c r="B27" s="16"/>
      <c r="C27" s="20">
        <v>2</v>
      </c>
      <c r="D27" s="4">
        <f t="shared" si="17"/>
        <v>55517.591723551566</v>
      </c>
      <c r="E27" s="4">
        <v>69396.989654439458</v>
      </c>
      <c r="F27" s="4">
        <f t="shared" si="18"/>
        <v>83276.387585327349</v>
      </c>
      <c r="G27" s="5"/>
      <c r="H27" s="4">
        <f t="shared" si="2"/>
        <v>40250.253999574888</v>
      </c>
      <c r="I27" s="4">
        <f t="shared" si="3"/>
        <v>50312.817499468605</v>
      </c>
      <c r="J27" s="4">
        <f t="shared" si="4"/>
        <v>60375.380999362322</v>
      </c>
      <c r="K27" s="4"/>
      <c r="L27" s="4">
        <f t="shared" si="5"/>
        <v>44525.108562288362</v>
      </c>
      <c r="M27" s="4">
        <f t="shared" si="6"/>
        <v>55656.385702860447</v>
      </c>
      <c r="N27" s="4">
        <f t="shared" si="7"/>
        <v>66787.662843432539</v>
      </c>
      <c r="O27" s="4"/>
      <c r="P27" s="4">
        <f t="shared" si="8"/>
        <v>48577.892758107628</v>
      </c>
      <c r="Q27" s="4">
        <f t="shared" si="9"/>
        <v>60722.365947634527</v>
      </c>
      <c r="R27" s="4">
        <f t="shared" si="10"/>
        <v>72866.839137161427</v>
      </c>
      <c r="S27" s="4"/>
      <c r="T27" s="4">
        <f t="shared" si="11"/>
        <v>51631.360302902962</v>
      </c>
      <c r="U27" s="4">
        <f t="shared" si="12"/>
        <v>64539.200378628702</v>
      </c>
      <c r="V27" s="4">
        <f t="shared" si="13"/>
        <v>77447.040454354443</v>
      </c>
      <c r="W27" s="4"/>
      <c r="X27" s="4">
        <f t="shared" si="14"/>
        <v>59625.893511094386</v>
      </c>
      <c r="Y27" s="4">
        <f t="shared" si="15"/>
        <v>74532.366888867982</v>
      </c>
      <c r="Z27" s="4">
        <f t="shared" si="16"/>
        <v>89438.840266641579</v>
      </c>
    </row>
    <row r="28" spans="1:26" x14ac:dyDescent="0.25">
      <c r="A28" s="6" t="s">
        <v>121</v>
      </c>
      <c r="B28" s="16"/>
      <c r="C28" s="20">
        <v>2</v>
      </c>
      <c r="D28" s="4">
        <f t="shared" si="17"/>
        <v>55517.591723551566</v>
      </c>
      <c r="E28" s="4">
        <v>69396.989654439458</v>
      </c>
      <c r="F28" s="4">
        <f t="shared" si="18"/>
        <v>83276.387585327349</v>
      </c>
      <c r="G28" s="5"/>
      <c r="H28" s="4">
        <f t="shared" si="2"/>
        <v>40250.253999574888</v>
      </c>
      <c r="I28" s="4">
        <f t="shared" si="3"/>
        <v>50312.817499468605</v>
      </c>
      <c r="J28" s="4">
        <f t="shared" si="4"/>
        <v>60375.380999362322</v>
      </c>
      <c r="K28" s="4"/>
      <c r="L28" s="4">
        <f t="shared" si="5"/>
        <v>44525.108562288362</v>
      </c>
      <c r="M28" s="4">
        <f t="shared" si="6"/>
        <v>55656.385702860447</v>
      </c>
      <c r="N28" s="4">
        <f t="shared" si="7"/>
        <v>66787.662843432539</v>
      </c>
      <c r="O28" s="4"/>
      <c r="P28" s="4">
        <f t="shared" si="8"/>
        <v>48577.892758107628</v>
      </c>
      <c r="Q28" s="4">
        <f t="shared" si="9"/>
        <v>60722.365947634527</v>
      </c>
      <c r="R28" s="4">
        <f t="shared" si="10"/>
        <v>72866.839137161427</v>
      </c>
      <c r="S28" s="4"/>
      <c r="T28" s="4">
        <f t="shared" si="11"/>
        <v>51631.360302902962</v>
      </c>
      <c r="U28" s="4">
        <f t="shared" si="12"/>
        <v>64539.200378628702</v>
      </c>
      <c r="V28" s="4">
        <f t="shared" si="13"/>
        <v>77447.040454354443</v>
      </c>
      <c r="W28" s="4"/>
      <c r="X28" s="4">
        <f t="shared" si="14"/>
        <v>59625.893511094386</v>
      </c>
      <c r="Y28" s="4">
        <f t="shared" si="15"/>
        <v>74532.366888867982</v>
      </c>
      <c r="Z28" s="4">
        <f t="shared" si="16"/>
        <v>89438.840266641579</v>
      </c>
    </row>
    <row r="29" spans="1:26" x14ac:dyDescent="0.25">
      <c r="A29" s="6" t="s">
        <v>122</v>
      </c>
      <c r="B29" s="16"/>
      <c r="C29" s="20">
        <v>2</v>
      </c>
      <c r="D29" s="4">
        <f t="shared" si="17"/>
        <v>55517.591723551566</v>
      </c>
      <c r="E29" s="4">
        <v>69396.989654439458</v>
      </c>
      <c r="F29" s="4">
        <f t="shared" si="18"/>
        <v>83276.387585327349</v>
      </c>
      <c r="G29" s="5"/>
      <c r="H29" s="4">
        <f t="shared" si="2"/>
        <v>40250.253999574888</v>
      </c>
      <c r="I29" s="4">
        <f t="shared" si="3"/>
        <v>50312.817499468605</v>
      </c>
      <c r="J29" s="4">
        <f t="shared" si="4"/>
        <v>60375.380999362322</v>
      </c>
      <c r="K29" s="4"/>
      <c r="L29" s="4">
        <f t="shared" si="5"/>
        <v>44525.108562288362</v>
      </c>
      <c r="M29" s="4">
        <f t="shared" si="6"/>
        <v>55656.385702860447</v>
      </c>
      <c r="N29" s="4">
        <f t="shared" si="7"/>
        <v>66787.662843432539</v>
      </c>
      <c r="O29" s="4"/>
      <c r="P29" s="4">
        <f t="shared" si="8"/>
        <v>48577.892758107628</v>
      </c>
      <c r="Q29" s="4">
        <f t="shared" si="9"/>
        <v>60722.365947634527</v>
      </c>
      <c r="R29" s="4">
        <f t="shared" si="10"/>
        <v>72866.839137161427</v>
      </c>
      <c r="S29" s="4"/>
      <c r="T29" s="4">
        <f t="shared" si="11"/>
        <v>51631.360302902962</v>
      </c>
      <c r="U29" s="4">
        <f t="shared" si="12"/>
        <v>64539.200378628702</v>
      </c>
      <c r="V29" s="4">
        <f t="shared" si="13"/>
        <v>77447.040454354443</v>
      </c>
      <c r="W29" s="4"/>
      <c r="X29" s="4">
        <f t="shared" si="14"/>
        <v>59625.893511094386</v>
      </c>
      <c r="Y29" s="4">
        <f t="shared" si="15"/>
        <v>74532.366888867982</v>
      </c>
      <c r="Z29" s="4">
        <f t="shared" si="16"/>
        <v>89438.840266641579</v>
      </c>
    </row>
    <row r="30" spans="1:26" x14ac:dyDescent="0.25">
      <c r="A30" s="6"/>
      <c r="B30" s="16"/>
      <c r="C30" s="20"/>
      <c r="D30" s="4"/>
      <c r="E30" s="4"/>
      <c r="F30" s="4"/>
      <c r="G30" s="5"/>
      <c r="H30" s="4"/>
      <c r="I30" s="4"/>
      <c r="J30" s="4"/>
      <c r="K30" s="4"/>
      <c r="L30" s="4"/>
      <c r="M30" s="4"/>
      <c r="N30" s="4"/>
      <c r="O30" s="4"/>
      <c r="P30" s="4"/>
      <c r="Q30" s="4"/>
      <c r="R30" s="4"/>
      <c r="S30" s="4"/>
      <c r="T30" s="4"/>
      <c r="U30" s="4"/>
      <c r="V30" s="4"/>
      <c r="W30" s="4"/>
      <c r="X30" s="4"/>
      <c r="Y30" s="4"/>
      <c r="Z30" s="4"/>
    </row>
    <row r="31" spans="1:26" ht="15" customHeight="1" x14ac:dyDescent="0.25">
      <c r="A31" s="6" t="s">
        <v>123</v>
      </c>
      <c r="B31" s="17"/>
      <c r="C31" s="20">
        <v>1</v>
      </c>
      <c r="D31" s="4">
        <f>E31*0.8</f>
        <v>48829.150510897598</v>
      </c>
      <c r="E31" s="4">
        <v>61036.438138621997</v>
      </c>
      <c r="F31" s="4">
        <f>E31*1.2</f>
        <v>73243.725766346397</v>
      </c>
      <c r="G31" s="5"/>
      <c r="H31" s="4">
        <f t="shared" si="2"/>
        <v>35401.134120400755</v>
      </c>
      <c r="I31" s="4">
        <f t="shared" si="3"/>
        <v>44251.417650500945</v>
      </c>
      <c r="J31" s="4">
        <f t="shared" si="4"/>
        <v>53101.701180601136</v>
      </c>
      <c r="K31" s="4"/>
      <c r="L31" s="4">
        <f t="shared" si="5"/>
        <v>39160.97870973988</v>
      </c>
      <c r="M31" s="4">
        <f t="shared" si="6"/>
        <v>48951.223387174847</v>
      </c>
      <c r="N31" s="4">
        <f t="shared" si="7"/>
        <v>58741.468064609813</v>
      </c>
      <c r="O31" s="4"/>
      <c r="P31" s="4">
        <f t="shared" si="8"/>
        <v>42725.506697035402</v>
      </c>
      <c r="Q31" s="4">
        <f t="shared" si="9"/>
        <v>53406.883371294251</v>
      </c>
      <c r="R31" s="4">
        <f t="shared" si="10"/>
        <v>64088.260045553099</v>
      </c>
      <c r="S31" s="4"/>
      <c r="T31" s="4">
        <f t="shared" si="11"/>
        <v>45411.109975134772</v>
      </c>
      <c r="U31" s="4">
        <f t="shared" si="12"/>
        <v>56763.887468918459</v>
      </c>
      <c r="V31" s="4">
        <f t="shared" si="13"/>
        <v>68116.664962702154</v>
      </c>
      <c r="W31" s="4"/>
      <c r="X31" s="4">
        <f t="shared" si="14"/>
        <v>52442.507648704028</v>
      </c>
      <c r="Y31" s="4">
        <f t="shared" si="15"/>
        <v>65553.134560880033</v>
      </c>
      <c r="Z31" s="4">
        <f t="shared" si="16"/>
        <v>78663.761473056031</v>
      </c>
    </row>
    <row r="32" spans="1:26" x14ac:dyDescent="0.25">
      <c r="A32" s="6" t="s">
        <v>124</v>
      </c>
      <c r="B32" s="17"/>
      <c r="C32" s="20">
        <v>1</v>
      </c>
      <c r="D32" s="4">
        <f>E32*0.8</f>
        <v>48829.150510897598</v>
      </c>
      <c r="E32" s="4">
        <v>61036.438138621997</v>
      </c>
      <c r="F32" s="4">
        <f>E32*1.2</f>
        <v>73243.725766346397</v>
      </c>
      <c r="G32" s="5"/>
      <c r="H32" s="4">
        <f t="shared" si="2"/>
        <v>35401.134120400755</v>
      </c>
      <c r="I32" s="4">
        <f t="shared" si="3"/>
        <v>44251.417650500945</v>
      </c>
      <c r="J32" s="4">
        <f t="shared" si="4"/>
        <v>53101.701180601136</v>
      </c>
      <c r="K32" s="4"/>
      <c r="L32" s="4">
        <f t="shared" si="5"/>
        <v>39160.97870973988</v>
      </c>
      <c r="M32" s="4">
        <f t="shared" si="6"/>
        <v>48951.223387174847</v>
      </c>
      <c r="N32" s="4">
        <f t="shared" si="7"/>
        <v>58741.468064609813</v>
      </c>
      <c r="O32" s="4"/>
      <c r="P32" s="4">
        <f t="shared" si="8"/>
        <v>42725.506697035402</v>
      </c>
      <c r="Q32" s="4">
        <f t="shared" si="9"/>
        <v>53406.883371294251</v>
      </c>
      <c r="R32" s="4">
        <f t="shared" si="10"/>
        <v>64088.260045553099</v>
      </c>
      <c r="S32" s="4"/>
      <c r="T32" s="4">
        <f t="shared" si="11"/>
        <v>45411.109975134772</v>
      </c>
      <c r="U32" s="4">
        <f t="shared" si="12"/>
        <v>56763.887468918459</v>
      </c>
      <c r="V32" s="4">
        <f t="shared" si="13"/>
        <v>68116.664962702154</v>
      </c>
      <c r="W32" s="4"/>
      <c r="X32" s="4">
        <f t="shared" si="14"/>
        <v>52442.507648704028</v>
      </c>
      <c r="Y32" s="4">
        <f t="shared" si="15"/>
        <v>65553.134560880033</v>
      </c>
      <c r="Z32" s="4">
        <f t="shared" si="16"/>
        <v>78663.761473056031</v>
      </c>
    </row>
    <row r="33" spans="1:26" x14ac:dyDescent="0.25">
      <c r="A33" s="6" t="s">
        <v>125</v>
      </c>
      <c r="B33" s="17"/>
      <c r="C33" s="20">
        <v>1</v>
      </c>
      <c r="D33" s="4">
        <f>E33*0.8</f>
        <v>48829.150510897598</v>
      </c>
      <c r="E33" s="4">
        <v>61036.438138621997</v>
      </c>
      <c r="F33" s="4">
        <f>E33*1.2</f>
        <v>73243.725766346397</v>
      </c>
      <c r="G33" s="5"/>
      <c r="H33" s="4">
        <f t="shared" si="2"/>
        <v>35401.134120400755</v>
      </c>
      <c r="I33" s="4">
        <f t="shared" si="3"/>
        <v>44251.417650500945</v>
      </c>
      <c r="J33" s="4">
        <f t="shared" si="4"/>
        <v>53101.701180601136</v>
      </c>
      <c r="K33" s="4"/>
      <c r="L33" s="4">
        <f t="shared" si="5"/>
        <v>39160.97870973988</v>
      </c>
      <c r="M33" s="4">
        <f t="shared" si="6"/>
        <v>48951.223387174847</v>
      </c>
      <c r="N33" s="4">
        <f t="shared" si="7"/>
        <v>58741.468064609813</v>
      </c>
      <c r="O33" s="4"/>
      <c r="P33" s="4">
        <f t="shared" si="8"/>
        <v>42725.506697035402</v>
      </c>
      <c r="Q33" s="4">
        <f t="shared" si="9"/>
        <v>53406.883371294251</v>
      </c>
      <c r="R33" s="4">
        <f t="shared" si="10"/>
        <v>64088.260045553099</v>
      </c>
      <c r="S33" s="4"/>
      <c r="T33" s="4">
        <f t="shared" si="11"/>
        <v>45411.109975134772</v>
      </c>
      <c r="U33" s="4">
        <f t="shared" si="12"/>
        <v>56763.887468918459</v>
      </c>
      <c r="V33" s="4">
        <f t="shared" si="13"/>
        <v>68116.664962702154</v>
      </c>
      <c r="W33" s="4"/>
      <c r="X33" s="4">
        <f t="shared" si="14"/>
        <v>52442.507648704028</v>
      </c>
      <c r="Y33" s="4">
        <f t="shared" si="15"/>
        <v>65553.134560880033</v>
      </c>
      <c r="Z33" s="4">
        <f t="shared" si="16"/>
        <v>78663.761473056031</v>
      </c>
    </row>
    <row r="34" spans="1:26" x14ac:dyDescent="0.25">
      <c r="A34" s="6" t="s">
        <v>126</v>
      </c>
      <c r="B34" s="17"/>
      <c r="C34" s="20">
        <v>1</v>
      </c>
      <c r="D34" s="4">
        <f>E34*0.8</f>
        <v>48829.150510897598</v>
      </c>
      <c r="E34" s="4">
        <v>61036.438138621997</v>
      </c>
      <c r="F34" s="4">
        <f>E34*1.2</f>
        <v>73243.725766346397</v>
      </c>
      <c r="G34" s="5"/>
      <c r="H34" s="4">
        <f t="shared" si="2"/>
        <v>35401.134120400755</v>
      </c>
      <c r="I34" s="4">
        <f t="shared" si="3"/>
        <v>44251.417650500945</v>
      </c>
      <c r="J34" s="4">
        <f t="shared" si="4"/>
        <v>53101.701180601136</v>
      </c>
      <c r="K34" s="4"/>
      <c r="L34" s="4">
        <f t="shared" si="5"/>
        <v>39160.97870973988</v>
      </c>
      <c r="M34" s="4">
        <f t="shared" si="6"/>
        <v>48951.223387174847</v>
      </c>
      <c r="N34" s="4">
        <f t="shared" si="7"/>
        <v>58741.468064609813</v>
      </c>
      <c r="O34" s="4"/>
      <c r="P34" s="4">
        <f t="shared" si="8"/>
        <v>42725.506697035402</v>
      </c>
      <c r="Q34" s="4">
        <f t="shared" si="9"/>
        <v>53406.883371294251</v>
      </c>
      <c r="R34" s="4">
        <f t="shared" si="10"/>
        <v>64088.260045553099</v>
      </c>
      <c r="S34" s="4"/>
      <c r="T34" s="4">
        <f t="shared" si="11"/>
        <v>45411.109975134772</v>
      </c>
      <c r="U34" s="4">
        <f t="shared" si="12"/>
        <v>56763.887468918459</v>
      </c>
      <c r="V34" s="4">
        <f t="shared" si="13"/>
        <v>68116.664962702154</v>
      </c>
      <c r="W34" s="4"/>
      <c r="X34" s="4">
        <f t="shared" si="14"/>
        <v>52442.507648704028</v>
      </c>
      <c r="Y34" s="4">
        <f t="shared" si="15"/>
        <v>65553.134560880033</v>
      </c>
      <c r="Z34" s="4">
        <f t="shared" si="16"/>
        <v>78663.761473056031</v>
      </c>
    </row>
    <row r="35" spans="1:26" x14ac:dyDescent="0.25">
      <c r="A35" s="6" t="s">
        <v>127</v>
      </c>
      <c r="B35" s="16"/>
      <c r="C35" s="20">
        <v>1</v>
      </c>
      <c r="D35" s="4">
        <f>E35*0.8</f>
        <v>48829.150510897598</v>
      </c>
      <c r="E35" s="4">
        <v>61036.438138621997</v>
      </c>
      <c r="F35" s="4">
        <f>E35*1.2</f>
        <v>73243.725766346397</v>
      </c>
      <c r="G35" s="5"/>
      <c r="H35" s="4">
        <f t="shared" si="2"/>
        <v>35401.134120400755</v>
      </c>
      <c r="I35" s="4">
        <f t="shared" si="3"/>
        <v>44251.417650500945</v>
      </c>
      <c r="J35" s="4">
        <f t="shared" si="4"/>
        <v>53101.701180601136</v>
      </c>
      <c r="K35" s="4"/>
      <c r="L35" s="4">
        <f t="shared" si="5"/>
        <v>39160.97870973988</v>
      </c>
      <c r="M35" s="4">
        <f t="shared" si="6"/>
        <v>48951.223387174847</v>
      </c>
      <c r="N35" s="4">
        <f t="shared" si="7"/>
        <v>58741.468064609813</v>
      </c>
      <c r="O35" s="4"/>
      <c r="P35" s="4">
        <f t="shared" si="8"/>
        <v>42725.506697035402</v>
      </c>
      <c r="Q35" s="4">
        <f t="shared" si="9"/>
        <v>53406.883371294251</v>
      </c>
      <c r="R35" s="4">
        <f t="shared" si="10"/>
        <v>64088.260045553099</v>
      </c>
      <c r="S35" s="4"/>
      <c r="T35" s="4">
        <f t="shared" si="11"/>
        <v>45411.109975134772</v>
      </c>
      <c r="U35" s="4">
        <f t="shared" si="12"/>
        <v>56763.887468918459</v>
      </c>
      <c r="V35" s="4">
        <f t="shared" si="13"/>
        <v>68116.664962702154</v>
      </c>
      <c r="W35" s="4"/>
      <c r="X35" s="4">
        <f t="shared" si="14"/>
        <v>52442.507648704028</v>
      </c>
      <c r="Y35" s="4">
        <f t="shared" si="15"/>
        <v>65553.134560880033</v>
      </c>
      <c r="Z35" s="4">
        <f t="shared" si="16"/>
        <v>78663.761473056031</v>
      </c>
    </row>
    <row r="36" spans="1:26" x14ac:dyDescent="0.25">
      <c r="A36" s="13"/>
      <c r="B36" s="18"/>
      <c r="C36" s="24"/>
      <c r="D36" s="2"/>
      <c r="E36" s="2"/>
      <c r="F36" s="2"/>
    </row>
    <row r="37" spans="1:26" ht="15.75" x14ac:dyDescent="0.25">
      <c r="A37" s="13"/>
      <c r="B37" s="18"/>
      <c r="C37" s="24"/>
      <c r="D37" s="173" t="s">
        <v>82</v>
      </c>
      <c r="E37" s="173"/>
      <c r="F37" s="173"/>
      <c r="G37" s="8"/>
      <c r="H37" s="173" t="s">
        <v>83</v>
      </c>
      <c r="I37" s="173"/>
      <c r="J37" s="173"/>
      <c r="K37" s="8"/>
      <c r="L37" s="173" t="s">
        <v>84</v>
      </c>
      <c r="M37" s="173"/>
      <c r="N37" s="173"/>
      <c r="O37" s="8"/>
      <c r="P37" s="173" t="s">
        <v>85</v>
      </c>
      <c r="Q37" s="173"/>
      <c r="R37" s="173"/>
      <c r="S37" s="8"/>
      <c r="T37" s="173" t="s">
        <v>86</v>
      </c>
      <c r="U37" s="173"/>
      <c r="V37" s="173"/>
      <c r="W37" s="8"/>
      <c r="X37" s="173" t="s">
        <v>87</v>
      </c>
      <c r="Y37" s="173"/>
      <c r="Z37" s="173"/>
    </row>
    <row r="38" spans="1:26" ht="45.75" customHeight="1" x14ac:dyDescent="0.25">
      <c r="A38" s="13"/>
      <c r="B38" s="18"/>
      <c r="C38" s="24"/>
      <c r="D38" s="172" t="s">
        <v>128</v>
      </c>
      <c r="E38" s="172"/>
      <c r="F38" s="172"/>
      <c r="G38" s="28"/>
      <c r="H38" s="172" t="s">
        <v>128</v>
      </c>
      <c r="I38" s="172"/>
      <c r="J38" s="172"/>
      <c r="K38" s="28"/>
      <c r="L38" s="172" t="s">
        <v>128</v>
      </c>
      <c r="M38" s="172"/>
      <c r="N38" s="172"/>
      <c r="O38" s="28"/>
      <c r="P38" s="172" t="s">
        <v>128</v>
      </c>
      <c r="Q38" s="172"/>
      <c r="R38" s="172"/>
      <c r="S38" s="28"/>
      <c r="T38" s="172" t="s">
        <v>128</v>
      </c>
      <c r="U38" s="172"/>
      <c r="V38" s="172"/>
      <c r="W38" s="28"/>
      <c r="X38" s="172" t="s">
        <v>128</v>
      </c>
      <c r="Y38" s="172"/>
      <c r="Z38" s="172"/>
    </row>
    <row r="39" spans="1:26" ht="15" customHeight="1" x14ac:dyDescent="0.25">
      <c r="A39" s="13"/>
      <c r="B39" s="18"/>
      <c r="C39" s="24"/>
      <c r="D39" s="9" t="s">
        <v>91</v>
      </c>
      <c r="E39" s="9" t="s">
        <v>92</v>
      </c>
      <c r="F39" s="9" t="s">
        <v>93</v>
      </c>
      <c r="G39" s="8"/>
      <c r="H39" s="9" t="s">
        <v>91</v>
      </c>
      <c r="I39" s="9" t="s">
        <v>92</v>
      </c>
      <c r="J39" s="9" t="s">
        <v>93</v>
      </c>
      <c r="K39" s="8"/>
      <c r="L39" s="9" t="s">
        <v>91</v>
      </c>
      <c r="M39" s="9" t="s">
        <v>92</v>
      </c>
      <c r="N39" s="9" t="s">
        <v>93</v>
      </c>
      <c r="O39" s="8"/>
      <c r="P39" s="9" t="s">
        <v>91</v>
      </c>
      <c r="Q39" s="9" t="s">
        <v>92</v>
      </c>
      <c r="R39" s="9" t="s">
        <v>93</v>
      </c>
      <c r="S39" s="8"/>
      <c r="T39" s="9" t="s">
        <v>91</v>
      </c>
      <c r="U39" s="9" t="s">
        <v>92</v>
      </c>
      <c r="V39" s="9" t="s">
        <v>93</v>
      </c>
      <c r="W39" s="8"/>
      <c r="X39" s="9" t="s">
        <v>91</v>
      </c>
      <c r="Y39" s="9" t="s">
        <v>92</v>
      </c>
      <c r="Z39" s="9" t="s">
        <v>93</v>
      </c>
    </row>
    <row r="40" spans="1:26" x14ac:dyDescent="0.25">
      <c r="A40" s="10" t="s">
        <v>129</v>
      </c>
      <c r="B40" s="17"/>
      <c r="C40" s="26" t="s">
        <v>130</v>
      </c>
      <c r="D40" s="7">
        <v>170507.28599999996</v>
      </c>
      <c r="E40" s="7">
        <v>196113.16799999998</v>
      </c>
      <c r="F40" s="7">
        <v>214266.99599999996</v>
      </c>
      <c r="H40" s="4">
        <f t="shared" ref="H40" si="19">J40/1.6</f>
        <v>97089.732562499965</v>
      </c>
      <c r="I40" s="4">
        <f t="shared" ref="I40" si="20">AVERAGE(H40,J40)</f>
        <v>126216.65233124996</v>
      </c>
      <c r="J40" s="4">
        <f>F40*0.725</f>
        <v>155343.57209999996</v>
      </c>
      <c r="K40" s="7"/>
      <c r="L40" s="4">
        <f t="shared" ref="L40" si="21">N40/1.6</f>
        <v>107401.33174499999</v>
      </c>
      <c r="M40" s="4">
        <f t="shared" ref="M40" si="22">AVERAGE(L40,N40)</f>
        <v>139621.73126849998</v>
      </c>
      <c r="N40" s="4">
        <f>F40*0.802</f>
        <v>171842.13079199998</v>
      </c>
      <c r="O40" s="7"/>
      <c r="P40" s="4">
        <f t="shared" ref="P40" si="23">R40/1.6</f>
        <v>117177.26343749996</v>
      </c>
      <c r="Q40" s="4">
        <f t="shared" ref="Q40" si="24">AVERAGE(P40,R40)</f>
        <v>152330.44246874994</v>
      </c>
      <c r="R40" s="4">
        <f>F40*0.875</f>
        <v>187483.62149999995</v>
      </c>
      <c r="S40" s="4"/>
      <c r="T40" s="4">
        <f t="shared" ref="T40" si="25">V40/1.6</f>
        <v>124542.69142499997</v>
      </c>
      <c r="U40" s="4">
        <f t="shared" ref="U40" si="26">AVERAGE(T40,V40)</f>
        <v>161905.49885249996</v>
      </c>
      <c r="V40" s="4">
        <f>F40*0.93</f>
        <v>199268.30627999996</v>
      </c>
      <c r="W40" s="4"/>
      <c r="X40" s="4">
        <f t="shared" ref="X40" si="27">Z40/1.6</f>
        <v>143826.72106499996</v>
      </c>
      <c r="Y40" s="4">
        <f t="shared" ref="Y40" si="28">AVERAGE(X40,Z40)</f>
        <v>186974.73738449998</v>
      </c>
      <c r="Z40" s="4">
        <f>F40*1.074</f>
        <v>230122.75370399997</v>
      </c>
    </row>
    <row r="41" spans="1:26" x14ac:dyDescent="0.25">
      <c r="A41" s="10" t="s">
        <v>131</v>
      </c>
      <c r="B41" s="17"/>
      <c r="C41" s="26" t="s">
        <v>132</v>
      </c>
      <c r="D41" s="4">
        <v>233337.74400000001</v>
      </c>
      <c r="E41" s="4">
        <v>314874.49200000003</v>
      </c>
      <c r="F41" s="4">
        <v>420515.35200000001</v>
      </c>
      <c r="G41" s="5"/>
      <c r="H41" s="4">
        <f t="shared" ref="H41:H52" si="29">J41/1.6</f>
        <v>190546.01887500001</v>
      </c>
      <c r="I41" s="4">
        <f t="shared" ref="I41:I52" si="30">AVERAGE(H41,J41)</f>
        <v>247709.82453750001</v>
      </c>
      <c r="J41" s="4">
        <f t="shared" ref="J41:J52" si="31">F41*0.725</f>
        <v>304873.63020000001</v>
      </c>
      <c r="K41" s="4"/>
      <c r="L41" s="4">
        <f t="shared" ref="L41:L51" si="32">N41/1.6</f>
        <v>210783.32019</v>
      </c>
      <c r="M41" s="4">
        <f t="shared" ref="M41:M51" si="33">AVERAGE(L41,N41)</f>
        <v>274018.31624700001</v>
      </c>
      <c r="N41" s="4">
        <f t="shared" ref="N41:N51" si="34">F41*0.802</f>
        <v>337253.31230400002</v>
      </c>
      <c r="O41" s="4"/>
      <c r="P41" s="4">
        <f t="shared" ref="P41:P51" si="35">R41/1.6</f>
        <v>229969.333125</v>
      </c>
      <c r="Q41" s="4">
        <f t="shared" ref="Q41:Q51" si="36">AVERAGE(P41,R41)</f>
        <v>298960.13306250004</v>
      </c>
      <c r="R41" s="4">
        <f t="shared" ref="R41:R51" si="37">F41*0.875</f>
        <v>367950.93300000002</v>
      </c>
      <c r="S41" s="4"/>
      <c r="T41" s="4">
        <f t="shared" ref="T41:T51" si="38">V41/1.6</f>
        <v>244424.54835</v>
      </c>
      <c r="U41" s="4">
        <f t="shared" ref="U41:U51" si="39">AVERAGE(T41,V41)</f>
        <v>317751.912855</v>
      </c>
      <c r="V41" s="4">
        <f t="shared" ref="V41:V51" si="40">F41*0.93</f>
        <v>391079.27736000001</v>
      </c>
      <c r="W41" s="4"/>
      <c r="X41" s="4">
        <f t="shared" ref="X41:X51" si="41">Z41/1.6</f>
        <v>282270.93002999999</v>
      </c>
      <c r="Y41" s="4">
        <f t="shared" ref="Y41:Y51" si="42">AVERAGE(X41,Z41)</f>
        <v>366952.20903899998</v>
      </c>
      <c r="Z41" s="4">
        <f t="shared" ref="Z41:Z51" si="43">F41*1.074</f>
        <v>451633.48804800003</v>
      </c>
    </row>
    <row r="42" spans="1:26" x14ac:dyDescent="0.25">
      <c r="A42" s="10" t="s">
        <v>133</v>
      </c>
      <c r="B42" s="17"/>
      <c r="C42" s="26" t="s">
        <v>132</v>
      </c>
      <c r="D42" s="4">
        <v>110038.27800000001</v>
      </c>
      <c r="E42" s="4">
        <v>120563.034</v>
      </c>
      <c r="F42" s="4">
        <v>133882.93700000001</v>
      </c>
      <c r="G42" s="5"/>
      <c r="H42" s="4">
        <f t="shared" si="29"/>
        <v>60665.705828124999</v>
      </c>
      <c r="I42" s="4">
        <f t="shared" si="30"/>
        <v>78865.417576562497</v>
      </c>
      <c r="J42" s="4">
        <f t="shared" si="31"/>
        <v>97065.129325000002</v>
      </c>
      <c r="K42" s="4"/>
      <c r="L42" s="4">
        <f t="shared" si="32"/>
        <v>67108.822171249994</v>
      </c>
      <c r="M42" s="4">
        <f t="shared" si="33"/>
        <v>87241.468822625</v>
      </c>
      <c r="N42" s="4">
        <f t="shared" si="34"/>
        <v>107374.11547400001</v>
      </c>
      <c r="O42" s="4"/>
      <c r="P42" s="4">
        <f t="shared" si="35"/>
        <v>73217.231171874999</v>
      </c>
      <c r="Q42" s="4">
        <f t="shared" si="36"/>
        <v>95182.400523437507</v>
      </c>
      <c r="R42" s="4">
        <f t="shared" si="37"/>
        <v>117147.569875</v>
      </c>
      <c r="S42" s="4"/>
      <c r="T42" s="4">
        <f t="shared" si="38"/>
        <v>77819.457131250005</v>
      </c>
      <c r="U42" s="4">
        <f t="shared" si="39"/>
        <v>101165.29427062502</v>
      </c>
      <c r="V42" s="4">
        <f t="shared" si="40"/>
        <v>124511.13141000002</v>
      </c>
      <c r="W42" s="4"/>
      <c r="X42" s="4">
        <f t="shared" si="41"/>
        <v>89868.921461250007</v>
      </c>
      <c r="Y42" s="4">
        <f t="shared" si="42"/>
        <v>116829.59789962502</v>
      </c>
      <c r="Z42" s="4">
        <f t="shared" si="43"/>
        <v>143790.27433800002</v>
      </c>
    </row>
    <row r="43" spans="1:26" x14ac:dyDescent="0.25">
      <c r="A43" s="10" t="s">
        <v>134</v>
      </c>
      <c r="B43" s="17"/>
      <c r="C43" s="26" t="s">
        <v>132</v>
      </c>
      <c r="D43" s="4">
        <v>232001.52399999998</v>
      </c>
      <c r="E43" s="4">
        <v>279280.92099999997</v>
      </c>
      <c r="F43" s="4">
        <v>342563.45199999993</v>
      </c>
      <c r="G43" s="5"/>
      <c r="H43" s="4">
        <f t="shared" si="29"/>
        <v>155224.06418749996</v>
      </c>
      <c r="I43" s="4">
        <f t="shared" si="30"/>
        <v>201791.28344374994</v>
      </c>
      <c r="J43" s="4">
        <f t="shared" si="31"/>
        <v>248358.50269999995</v>
      </c>
      <c r="K43" s="4"/>
      <c r="L43" s="4">
        <f t="shared" si="32"/>
        <v>171709.93031499998</v>
      </c>
      <c r="M43" s="4">
        <f t="shared" si="33"/>
        <v>223222.90940949996</v>
      </c>
      <c r="N43" s="4">
        <f t="shared" si="34"/>
        <v>274735.88850399997</v>
      </c>
      <c r="O43" s="4"/>
      <c r="P43" s="4">
        <f t="shared" si="35"/>
        <v>187339.38781249995</v>
      </c>
      <c r="Q43" s="4">
        <f t="shared" si="36"/>
        <v>243541.20415624994</v>
      </c>
      <c r="R43" s="4">
        <f t="shared" si="37"/>
        <v>299743.02049999993</v>
      </c>
      <c r="S43" s="4"/>
      <c r="T43" s="4">
        <f t="shared" si="38"/>
        <v>199115.00647499997</v>
      </c>
      <c r="U43" s="4">
        <f t="shared" si="39"/>
        <v>258849.50841749995</v>
      </c>
      <c r="V43" s="4">
        <f t="shared" si="40"/>
        <v>318584.01035999996</v>
      </c>
      <c r="W43" s="4"/>
      <c r="X43" s="4">
        <f t="shared" si="41"/>
        <v>229945.71715499996</v>
      </c>
      <c r="Y43" s="4">
        <f t="shared" si="42"/>
        <v>298929.4323015</v>
      </c>
      <c r="Z43" s="4">
        <f t="shared" si="43"/>
        <v>367913.14744799997</v>
      </c>
    </row>
    <row r="44" spans="1:26" x14ac:dyDescent="0.25">
      <c r="A44" s="10" t="s">
        <v>135</v>
      </c>
      <c r="B44" s="17"/>
      <c r="C44" s="26" t="s">
        <v>130</v>
      </c>
      <c r="D44" s="7">
        <v>181937.72799999997</v>
      </c>
      <c r="E44" s="7">
        <v>209285.83199999997</v>
      </c>
      <c r="F44" s="7">
        <v>247867.87199999997</v>
      </c>
      <c r="G44" s="5"/>
      <c r="H44" s="4">
        <f t="shared" si="29"/>
        <v>112315.12949999998</v>
      </c>
      <c r="I44" s="4">
        <f t="shared" si="30"/>
        <v>146009.66834999999</v>
      </c>
      <c r="J44" s="4">
        <f t="shared" si="31"/>
        <v>179704.20719999998</v>
      </c>
      <c r="K44" s="4"/>
      <c r="L44" s="4">
        <f t="shared" si="32"/>
        <v>124243.77084</v>
      </c>
      <c r="M44" s="4">
        <f t="shared" si="33"/>
        <v>161516.902092</v>
      </c>
      <c r="N44" s="4">
        <f t="shared" si="34"/>
        <v>198790.033344</v>
      </c>
      <c r="O44" s="4"/>
      <c r="P44" s="4">
        <f t="shared" si="35"/>
        <v>135552.74249999996</v>
      </c>
      <c r="Q44" s="4">
        <f t="shared" si="36"/>
        <v>176218.56524999999</v>
      </c>
      <c r="R44" s="4">
        <f t="shared" si="37"/>
        <v>216884.38799999998</v>
      </c>
      <c r="S44" s="4"/>
      <c r="T44" s="4">
        <f t="shared" si="38"/>
        <v>144073.20059999998</v>
      </c>
      <c r="U44" s="4">
        <f t="shared" si="39"/>
        <v>187295.16077999998</v>
      </c>
      <c r="V44" s="4">
        <f t="shared" si="40"/>
        <v>230517.12096</v>
      </c>
      <c r="W44" s="4"/>
      <c r="X44" s="4">
        <f t="shared" si="41"/>
        <v>166381.30907999998</v>
      </c>
      <c r="Y44" s="4">
        <f t="shared" si="42"/>
        <v>216295.70180399998</v>
      </c>
      <c r="Z44" s="4">
        <f t="shared" si="43"/>
        <v>266210.09452799999</v>
      </c>
    </row>
    <row r="45" spans="1:26" x14ac:dyDescent="0.25">
      <c r="A45" s="10" t="s">
        <v>136</v>
      </c>
      <c r="B45" s="17"/>
      <c r="C45" s="26" t="s">
        <v>132</v>
      </c>
      <c r="D45" s="4">
        <v>121655.538</v>
      </c>
      <c r="E45" s="4">
        <v>134375.236</v>
      </c>
      <c r="F45" s="4">
        <v>150469.522</v>
      </c>
      <c r="G45" s="5"/>
      <c r="H45" s="4">
        <f t="shared" si="29"/>
        <v>68181.50215624999</v>
      </c>
      <c r="I45" s="4">
        <f t="shared" si="30"/>
        <v>88635.952803124994</v>
      </c>
      <c r="J45" s="4">
        <f t="shared" si="31"/>
        <v>109090.40345</v>
      </c>
      <c r="K45" s="4"/>
      <c r="L45" s="4">
        <f t="shared" si="32"/>
        <v>75422.847902499998</v>
      </c>
      <c r="M45" s="4">
        <f t="shared" si="33"/>
        <v>98049.702273250005</v>
      </c>
      <c r="N45" s="4">
        <f t="shared" si="34"/>
        <v>120676.55664400001</v>
      </c>
      <c r="O45" s="4"/>
      <c r="P45" s="4">
        <f t="shared" si="35"/>
        <v>82288.019843750008</v>
      </c>
      <c r="Q45" s="4">
        <f t="shared" si="36"/>
        <v>106974.425796875</v>
      </c>
      <c r="R45" s="4">
        <f t="shared" si="37"/>
        <v>131660.83175000001</v>
      </c>
      <c r="S45" s="4"/>
      <c r="T45" s="4">
        <f t="shared" si="38"/>
        <v>87460.409662499995</v>
      </c>
      <c r="U45" s="4">
        <f t="shared" si="39"/>
        <v>113698.53256125</v>
      </c>
      <c r="V45" s="4">
        <f t="shared" si="40"/>
        <v>139936.65546000001</v>
      </c>
      <c r="W45" s="4"/>
      <c r="X45" s="4">
        <f t="shared" si="41"/>
        <v>101002.6666425</v>
      </c>
      <c r="Y45" s="4">
        <f t="shared" si="42"/>
        <v>131303.46663525002</v>
      </c>
      <c r="Z45" s="4">
        <f t="shared" si="43"/>
        <v>161604.26662800001</v>
      </c>
    </row>
    <row r="46" spans="1:26" x14ac:dyDescent="0.25">
      <c r="A46" s="10" t="s">
        <v>137</v>
      </c>
      <c r="B46" s="17"/>
      <c r="C46" s="26" t="s">
        <v>132</v>
      </c>
      <c r="D46" s="4">
        <v>165099.54</v>
      </c>
      <c r="E46" s="4">
        <v>195227.67600000001</v>
      </c>
      <c r="F46" s="4">
        <v>235753.56599999999</v>
      </c>
      <c r="G46" s="5"/>
      <c r="H46" s="4">
        <f t="shared" si="29"/>
        <v>106825.83459374998</v>
      </c>
      <c r="I46" s="4">
        <f t="shared" si="30"/>
        <v>138873.58497187498</v>
      </c>
      <c r="J46" s="4">
        <f t="shared" si="31"/>
        <v>170921.33534999998</v>
      </c>
      <c r="K46" s="4"/>
      <c r="L46" s="4">
        <f t="shared" si="32"/>
        <v>118171.47495749999</v>
      </c>
      <c r="M46" s="4">
        <f t="shared" si="33"/>
        <v>153622.91744475</v>
      </c>
      <c r="N46" s="4">
        <f t="shared" si="34"/>
        <v>189074.35993199999</v>
      </c>
      <c r="O46" s="4"/>
      <c r="P46" s="4">
        <f t="shared" si="35"/>
        <v>128927.73140624998</v>
      </c>
      <c r="Q46" s="4">
        <f t="shared" si="36"/>
        <v>167606.05082812498</v>
      </c>
      <c r="R46" s="4">
        <f t="shared" si="37"/>
        <v>206284.37024999998</v>
      </c>
      <c r="S46" s="4"/>
      <c r="T46" s="4">
        <f t="shared" si="38"/>
        <v>137031.76023749998</v>
      </c>
      <c r="U46" s="4">
        <f t="shared" si="39"/>
        <v>178141.28830874999</v>
      </c>
      <c r="V46" s="4">
        <f t="shared" si="40"/>
        <v>219250.81638</v>
      </c>
      <c r="W46" s="4"/>
      <c r="X46" s="4">
        <f t="shared" si="41"/>
        <v>158249.58117749999</v>
      </c>
      <c r="Y46" s="4">
        <f t="shared" si="42"/>
        <v>205724.45553074998</v>
      </c>
      <c r="Z46" s="4">
        <f t="shared" si="43"/>
        <v>253199.32988400001</v>
      </c>
    </row>
    <row r="47" spans="1:26" x14ac:dyDescent="0.25">
      <c r="A47" s="10" t="s">
        <v>138</v>
      </c>
      <c r="B47" s="17"/>
      <c r="C47" s="26" t="s">
        <v>132</v>
      </c>
      <c r="D47" s="4">
        <v>98460.528000000006</v>
      </c>
      <c r="E47" s="4">
        <v>106690.95600000001</v>
      </c>
      <c r="F47" s="4">
        <v>117068.67</v>
      </c>
      <c r="G47" s="5"/>
      <c r="H47" s="4">
        <f t="shared" si="29"/>
        <v>53046.741093749995</v>
      </c>
      <c r="I47" s="4">
        <f t="shared" si="30"/>
        <v>68960.763421874988</v>
      </c>
      <c r="J47" s="4">
        <f t="shared" si="31"/>
        <v>84874.785749999995</v>
      </c>
      <c r="K47" s="4"/>
      <c r="L47" s="4">
        <f t="shared" si="32"/>
        <v>58680.670837500002</v>
      </c>
      <c r="M47" s="4">
        <f t="shared" si="33"/>
        <v>76284.872088750009</v>
      </c>
      <c r="N47" s="4">
        <f t="shared" si="34"/>
        <v>93889.073340000003</v>
      </c>
      <c r="O47" s="4"/>
      <c r="P47" s="4">
        <f t="shared" si="35"/>
        <v>64021.928906249996</v>
      </c>
      <c r="Q47" s="4">
        <f t="shared" si="36"/>
        <v>83228.507578124991</v>
      </c>
      <c r="R47" s="4">
        <f t="shared" si="37"/>
        <v>102435.08624999999</v>
      </c>
      <c r="S47" s="4"/>
      <c r="T47" s="4">
        <f t="shared" si="38"/>
        <v>68046.164437500003</v>
      </c>
      <c r="U47" s="4">
        <f t="shared" si="39"/>
        <v>88460.01376875001</v>
      </c>
      <c r="V47" s="4">
        <f t="shared" si="40"/>
        <v>108873.8631</v>
      </c>
      <c r="W47" s="4"/>
      <c r="X47" s="4">
        <f t="shared" si="41"/>
        <v>78582.344737499996</v>
      </c>
      <c r="Y47" s="4">
        <f t="shared" si="42"/>
        <v>102157.04815875</v>
      </c>
      <c r="Z47" s="4">
        <f t="shared" si="43"/>
        <v>125731.75158000001</v>
      </c>
    </row>
    <row r="48" spans="1:26" x14ac:dyDescent="0.25">
      <c r="A48" s="10" t="s">
        <v>139</v>
      </c>
      <c r="B48" s="17"/>
      <c r="C48" s="26" t="s">
        <v>132</v>
      </c>
      <c r="D48" s="4">
        <v>138224.60999999999</v>
      </c>
      <c r="E48" s="4">
        <v>150757.27199999997</v>
      </c>
      <c r="F48" s="4">
        <v>166710.63599999997</v>
      </c>
      <c r="G48" s="5"/>
      <c r="H48" s="4">
        <f t="shared" si="29"/>
        <v>75540.756937499973</v>
      </c>
      <c r="I48" s="4">
        <f t="shared" si="30"/>
        <v>98202.984018749965</v>
      </c>
      <c r="J48" s="4">
        <f t="shared" si="31"/>
        <v>120865.21109999997</v>
      </c>
      <c r="K48" s="4"/>
      <c r="L48" s="4">
        <f t="shared" si="32"/>
        <v>83563.706294999982</v>
      </c>
      <c r="M48" s="4">
        <f t="shared" si="33"/>
        <v>108632.81818349999</v>
      </c>
      <c r="N48" s="4">
        <f t="shared" si="34"/>
        <v>133701.93007199999</v>
      </c>
      <c r="O48" s="4"/>
      <c r="P48" s="4">
        <f t="shared" si="35"/>
        <v>91169.879062499982</v>
      </c>
      <c r="Q48" s="4">
        <f t="shared" si="36"/>
        <v>118520.84278124999</v>
      </c>
      <c r="R48" s="4">
        <f t="shared" si="37"/>
        <v>145871.80649999998</v>
      </c>
      <c r="S48" s="4"/>
      <c r="T48" s="4">
        <f t="shared" si="38"/>
        <v>96900.557174999994</v>
      </c>
      <c r="U48" s="4">
        <f t="shared" si="39"/>
        <v>125970.72432749999</v>
      </c>
      <c r="V48" s="4">
        <f t="shared" si="40"/>
        <v>155040.89147999999</v>
      </c>
      <c r="W48" s="4"/>
      <c r="X48" s="4">
        <f t="shared" si="41"/>
        <v>111904.51441499998</v>
      </c>
      <c r="Y48" s="4">
        <f t="shared" si="42"/>
        <v>145475.8687395</v>
      </c>
      <c r="Z48" s="4">
        <f t="shared" si="43"/>
        <v>179047.22306399999</v>
      </c>
    </row>
    <row r="49" spans="1:26" x14ac:dyDescent="0.25">
      <c r="A49" s="10" t="s">
        <v>140</v>
      </c>
      <c r="B49" s="17"/>
      <c r="C49" s="26" t="s">
        <v>132</v>
      </c>
      <c r="D49" s="4">
        <v>127960.41</v>
      </c>
      <c r="E49" s="4">
        <v>138834.114</v>
      </c>
      <c r="F49" s="4">
        <v>152687.766</v>
      </c>
      <c r="G49" s="5"/>
      <c r="H49" s="4">
        <f t="shared" si="29"/>
        <v>69186.643968749995</v>
      </c>
      <c r="I49" s="4">
        <f t="shared" si="30"/>
        <v>89942.637159374994</v>
      </c>
      <c r="J49" s="4">
        <f t="shared" si="31"/>
        <v>110698.63034999999</v>
      </c>
      <c r="K49" s="4"/>
      <c r="L49" s="4">
        <f t="shared" si="32"/>
        <v>76534.742707500001</v>
      </c>
      <c r="M49" s="4">
        <f t="shared" si="33"/>
        <v>99495.165519750008</v>
      </c>
      <c r="N49" s="4">
        <f t="shared" si="34"/>
        <v>122455.58833200001</v>
      </c>
      <c r="O49" s="4"/>
      <c r="P49" s="4">
        <f t="shared" si="35"/>
        <v>83501.122031249994</v>
      </c>
      <c r="Q49" s="4">
        <f t="shared" si="36"/>
        <v>108551.458640625</v>
      </c>
      <c r="R49" s="4">
        <f t="shared" si="37"/>
        <v>133601.79525</v>
      </c>
      <c r="S49" s="4"/>
      <c r="T49" s="4">
        <f t="shared" si="38"/>
        <v>88749.763987500002</v>
      </c>
      <c r="U49" s="4">
        <f t="shared" si="39"/>
        <v>115374.69318375</v>
      </c>
      <c r="V49" s="4">
        <f t="shared" si="40"/>
        <v>141999.62238000002</v>
      </c>
      <c r="W49" s="4"/>
      <c r="X49" s="4">
        <f t="shared" si="41"/>
        <v>102491.6629275</v>
      </c>
      <c r="Y49" s="4">
        <f t="shared" si="42"/>
        <v>133239.16180574999</v>
      </c>
      <c r="Z49" s="4">
        <f t="shared" si="43"/>
        <v>163986.660684</v>
      </c>
    </row>
    <row r="50" spans="1:26" x14ac:dyDescent="0.25">
      <c r="A50" s="10" t="s">
        <v>141</v>
      </c>
      <c r="B50" s="17"/>
      <c r="C50" s="26" t="s">
        <v>130</v>
      </c>
      <c r="D50" s="7">
        <v>184387.22500000003</v>
      </c>
      <c r="E50" s="7">
        <v>239392.82500000004</v>
      </c>
      <c r="F50" s="7">
        <v>314438.57500000007</v>
      </c>
      <c r="G50" s="5"/>
      <c r="H50" s="4">
        <f t="shared" si="29"/>
        <v>142479.97929687501</v>
      </c>
      <c r="I50" s="4">
        <f t="shared" si="30"/>
        <v>185223.97308593753</v>
      </c>
      <c r="J50" s="4">
        <f t="shared" si="31"/>
        <v>227967.96687500004</v>
      </c>
      <c r="K50" s="4"/>
      <c r="L50" s="4">
        <f t="shared" si="32"/>
        <v>157612.33571875002</v>
      </c>
      <c r="M50" s="4">
        <f t="shared" si="33"/>
        <v>204896.03643437504</v>
      </c>
      <c r="N50" s="4">
        <f t="shared" si="34"/>
        <v>252179.73715000006</v>
      </c>
      <c r="O50" s="4"/>
      <c r="P50" s="4">
        <f t="shared" si="35"/>
        <v>171958.59570312503</v>
      </c>
      <c r="Q50" s="4">
        <f t="shared" si="36"/>
        <v>223546.17441406252</v>
      </c>
      <c r="R50" s="4">
        <f t="shared" si="37"/>
        <v>275133.75312500005</v>
      </c>
      <c r="S50" s="4"/>
      <c r="T50" s="4">
        <f t="shared" si="38"/>
        <v>182767.42171875003</v>
      </c>
      <c r="U50" s="4">
        <f t="shared" si="39"/>
        <v>237597.64823437505</v>
      </c>
      <c r="V50" s="4">
        <f t="shared" si="40"/>
        <v>292427.87475000008</v>
      </c>
      <c r="W50" s="4"/>
      <c r="X50" s="4">
        <f t="shared" si="41"/>
        <v>211066.89346875006</v>
      </c>
      <c r="Y50" s="4">
        <f t="shared" si="42"/>
        <v>274386.96150937508</v>
      </c>
      <c r="Z50" s="4">
        <f t="shared" si="43"/>
        <v>337707.02955000009</v>
      </c>
    </row>
    <row r="51" spans="1:26" x14ac:dyDescent="0.25">
      <c r="A51" s="10" t="s">
        <v>142</v>
      </c>
      <c r="B51" s="17"/>
      <c r="C51" s="26" t="s">
        <v>132</v>
      </c>
      <c r="D51" s="4">
        <v>145476.02300000002</v>
      </c>
      <c r="E51" s="4">
        <v>170313.07700000002</v>
      </c>
      <c r="F51" s="4">
        <v>201308.19500000001</v>
      </c>
      <c r="G51" s="5"/>
      <c r="H51" s="4">
        <f t="shared" si="29"/>
        <v>91217.77585937499</v>
      </c>
      <c r="I51" s="4">
        <f t="shared" si="30"/>
        <v>118583.10861718749</v>
      </c>
      <c r="J51" s="4">
        <f t="shared" si="31"/>
        <v>145948.44137499999</v>
      </c>
      <c r="K51" s="4"/>
      <c r="L51" s="4">
        <f t="shared" si="32"/>
        <v>100905.73274375001</v>
      </c>
      <c r="M51" s="4">
        <f t="shared" si="33"/>
        <v>131177.45256687503</v>
      </c>
      <c r="N51" s="4">
        <f t="shared" si="34"/>
        <v>161449.17239000002</v>
      </c>
      <c r="O51" s="4"/>
      <c r="P51" s="4">
        <f t="shared" si="35"/>
        <v>110090.41914062499</v>
      </c>
      <c r="Q51" s="4">
        <f t="shared" si="36"/>
        <v>143117.54488281248</v>
      </c>
      <c r="R51" s="4">
        <f t="shared" si="37"/>
        <v>176144.670625</v>
      </c>
      <c r="S51" s="4"/>
      <c r="T51" s="4">
        <f t="shared" si="38"/>
        <v>117010.38834375002</v>
      </c>
      <c r="U51" s="4">
        <f t="shared" si="39"/>
        <v>152113.50484687503</v>
      </c>
      <c r="V51" s="4">
        <f t="shared" si="40"/>
        <v>187216.62135000003</v>
      </c>
      <c r="W51" s="4"/>
      <c r="X51" s="4">
        <f t="shared" si="41"/>
        <v>135128.12589375002</v>
      </c>
      <c r="Y51" s="4">
        <f t="shared" si="42"/>
        <v>175666.56366187503</v>
      </c>
      <c r="Z51" s="4">
        <f t="shared" si="43"/>
        <v>216205.00143000003</v>
      </c>
    </row>
    <row r="52" spans="1:26" x14ac:dyDescent="0.25">
      <c r="A52" s="10" t="s">
        <v>143</v>
      </c>
      <c r="B52" s="17"/>
      <c r="C52" s="26" t="s">
        <v>132</v>
      </c>
      <c r="D52" s="4">
        <v>173091.59999999998</v>
      </c>
      <c r="E52" s="4">
        <v>204861.95999999996</v>
      </c>
      <c r="F52" s="4">
        <v>224854.91999999995</v>
      </c>
      <c r="G52" s="5"/>
      <c r="H52" s="4">
        <f t="shared" si="29"/>
        <v>101887.38562499997</v>
      </c>
      <c r="I52" s="4">
        <f t="shared" si="30"/>
        <v>132453.60131249996</v>
      </c>
      <c r="J52" s="4">
        <f t="shared" si="31"/>
        <v>163019.81699999995</v>
      </c>
      <c r="K52" s="4"/>
      <c r="L52" s="4">
        <f t="shared" ref="L52" si="44">N52/1.6</f>
        <v>112708.52864999998</v>
      </c>
      <c r="M52" s="4">
        <f t="shared" ref="M52" si="45">AVERAGE(L52,N52)</f>
        <v>146521.08724499997</v>
      </c>
      <c r="N52" s="4">
        <f t="shared" ref="N52" si="46">F52*0.802</f>
        <v>180333.64583999998</v>
      </c>
      <c r="O52" s="4"/>
      <c r="P52" s="4">
        <f t="shared" ref="P52" si="47">R52/1.6</f>
        <v>122967.53437499997</v>
      </c>
      <c r="Q52" s="4">
        <f t="shared" ref="Q52" si="48">AVERAGE(P52,R52)</f>
        <v>159857.79468749996</v>
      </c>
      <c r="R52" s="4">
        <f t="shared" ref="R52" si="49">F52*0.875</f>
        <v>196748.05499999996</v>
      </c>
      <c r="S52" s="4"/>
      <c r="T52" s="4">
        <f t="shared" ref="T52" si="50">V52/1.6</f>
        <v>130696.92224999999</v>
      </c>
      <c r="U52" s="4">
        <f t="shared" ref="U52" si="51">AVERAGE(T52,V52)</f>
        <v>169905.99892499999</v>
      </c>
      <c r="V52" s="4">
        <f t="shared" ref="V52" si="52">F52*0.93</f>
        <v>209115.07559999998</v>
      </c>
      <c r="W52" s="4"/>
      <c r="X52" s="4">
        <f t="shared" ref="X52" si="53">Z52/1.6</f>
        <v>150933.86504999996</v>
      </c>
      <c r="Y52" s="4">
        <f t="shared" ref="Y52" si="54">AVERAGE(X52,Z52)</f>
        <v>196214.02456499997</v>
      </c>
      <c r="Z52" s="4">
        <f t="shared" ref="Z52" si="55">F52*1.074</f>
        <v>241494.18407999998</v>
      </c>
    </row>
  </sheetData>
  <mergeCells count="24">
    <mergeCell ref="X1:Z1"/>
    <mergeCell ref="D2:F2"/>
    <mergeCell ref="H2:J2"/>
    <mergeCell ref="L2:N2"/>
    <mergeCell ref="P2:R2"/>
    <mergeCell ref="T2:V2"/>
    <mergeCell ref="X2:Z2"/>
    <mergeCell ref="D1:F1"/>
    <mergeCell ref="H1:J1"/>
    <mergeCell ref="L1:N1"/>
    <mergeCell ref="P1:R1"/>
    <mergeCell ref="T1:V1"/>
    <mergeCell ref="X38:Z38"/>
    <mergeCell ref="D37:F37"/>
    <mergeCell ref="H37:J37"/>
    <mergeCell ref="L37:N37"/>
    <mergeCell ref="P37:R37"/>
    <mergeCell ref="T37:V37"/>
    <mergeCell ref="X37:Z37"/>
    <mergeCell ref="D38:F38"/>
    <mergeCell ref="H38:J38"/>
    <mergeCell ref="L38:N38"/>
    <mergeCell ref="P38:R38"/>
    <mergeCell ref="T38:V3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FE71A81D72198488B4C0867877695E0" ma:contentTypeVersion="19" ma:contentTypeDescription="Create a new document." ma:contentTypeScope="" ma:versionID="b78d202390f245f20ab8ad6ca6759590">
  <xsd:schema xmlns:xsd="http://www.w3.org/2001/XMLSchema" xmlns:xs="http://www.w3.org/2001/XMLSchema" xmlns:p="http://schemas.microsoft.com/office/2006/metadata/properties" xmlns:ns2="b4dd7714-5d3b-4f08-aeb7-4ffa24dfaea1" xmlns:ns3="ae1e6540-5f17-45ce-ac76-c75d29f68c99" targetNamespace="http://schemas.microsoft.com/office/2006/metadata/properties" ma:root="true" ma:fieldsID="b78755501a9d4d70bc6f05b3cac91e22" ns2:_="" ns3:_="">
    <xsd:import namespace="b4dd7714-5d3b-4f08-aeb7-4ffa24dfaea1"/>
    <xsd:import namespace="ae1e6540-5f17-45ce-ac76-c75d29f68c9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dd7714-5d3b-4f08-aeb7-4ffa24dfae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53e3dc2-79b4-4fdd-a9a6-f669ca57ba1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1e6540-5f17-45ce-ac76-c75d29f68c9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8c96abf-cced-47b0-908f-c361fd18f97a}" ma:internalName="TaxCatchAll" ma:showField="CatchAllData" ma:web="ae1e6540-5f17-45ce-ac76-c75d29f68c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4dd7714-5d3b-4f08-aeb7-4ffa24dfaea1">
      <Terms xmlns="http://schemas.microsoft.com/office/infopath/2007/PartnerControls"/>
    </lcf76f155ced4ddcb4097134ff3c332f>
    <TaxCatchAll xmlns="ae1e6540-5f17-45ce-ac76-c75d29f68c9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B93AC7-CA12-4112-8F5C-7DC9E8A5EB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dd7714-5d3b-4f08-aeb7-4ffa24dfaea1"/>
    <ds:schemaRef ds:uri="ae1e6540-5f17-45ce-ac76-c75d29f68c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EE1993-5027-42E1-8C1B-6346590BD633}">
  <ds:schemaRefs>
    <ds:schemaRef ds:uri="http://schemas.microsoft.com/office/2006/metadata/properties"/>
    <ds:schemaRef ds:uri="http://schemas.microsoft.com/office/infopath/2007/PartnerControls"/>
    <ds:schemaRef ds:uri="b4dd7714-5d3b-4f08-aeb7-4ffa24dfaea1"/>
    <ds:schemaRef ds:uri="ae1e6540-5f17-45ce-ac76-c75d29f68c99"/>
  </ds:schemaRefs>
</ds:datastoreItem>
</file>

<file path=customXml/itemProps3.xml><?xml version="1.0" encoding="utf-8"?>
<ds:datastoreItem xmlns:ds="http://schemas.openxmlformats.org/officeDocument/2006/customXml" ds:itemID="{209B1677-8EB0-4339-B831-6942BD2363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Market Database</vt:lpstr>
      <vt:lpstr>Market Pricing</vt:lpstr>
      <vt:lpstr>Market Ranges</vt:lpstr>
      <vt:lpstr>Performance Incentive Scorecard</vt:lpstr>
      <vt:lpstr>Competency Scorecard</vt:lpstr>
      <vt:lpstr>Lookup</vt:lpstr>
      <vt:lpstr>'Market Pricing'!Print_Area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Erik</dc:creator>
  <cp:keywords/>
  <dc:description/>
  <cp:lastModifiedBy>Christine Crews</cp:lastModifiedBy>
  <cp:revision/>
  <cp:lastPrinted>2025-08-21T16:46:52Z</cp:lastPrinted>
  <dcterms:created xsi:type="dcterms:W3CDTF">2012-05-07T20:05:55Z</dcterms:created>
  <dcterms:modified xsi:type="dcterms:W3CDTF">2025-09-05T14:50:46Z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0x0101002FE71A81D72198488B4C0867877695E0</vt:lpwstr>
  </property>
  <property fmtid="{D5CDD505-2E9C-101B-9397-08002B2CF9AE}" pid="3" name="MediaServiceImageTags">
    <vt:lpwstr/>
  </property>
</Properties>
</file>